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180" windowHeight="6360" tabRatio="593"/>
  </bookViews>
  <sheets>
    <sheet name="Постановление АИП 2018" sheetId="7" r:id="rId1"/>
  </sheets>
  <definedNames>
    <definedName name="_xlnm.Print_Titles" localSheetId="0">'Постановление АИП 2018'!$B:$M,'Постановление АИП 2018'!$8:$12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7"/>
  <c r="M17"/>
  <c r="L21"/>
  <c r="L23" s="1"/>
  <c r="M23"/>
  <c r="M27"/>
  <c r="M36" s="1"/>
  <c r="M50" s="1"/>
  <c r="L36"/>
  <c r="L50" s="1"/>
  <c r="L52"/>
  <c r="L53" s="1"/>
  <c r="M53"/>
  <c r="L59"/>
  <c r="L65" s="1"/>
  <c r="M65"/>
  <c r="L79"/>
  <c r="M79"/>
  <c r="L83"/>
  <c r="L104" s="1"/>
  <c r="M104"/>
  <c r="L109"/>
  <c r="L111" s="1"/>
  <c r="M111"/>
  <c r="L116"/>
  <c r="M116"/>
  <c r="L127"/>
  <c r="M127"/>
  <c r="L141"/>
  <c r="L143" s="1"/>
  <c r="M143"/>
  <c r="L155"/>
  <c r="M155"/>
  <c r="L160"/>
  <c r="M160"/>
  <c r="L164"/>
  <c r="L169"/>
  <c r="L175"/>
  <c r="L188"/>
  <c r="L191"/>
  <c r="L206"/>
  <c r="L213"/>
  <c r="L215"/>
  <c r="L218"/>
  <c r="M244"/>
  <c r="L250"/>
  <c r="M250"/>
  <c r="L253"/>
  <c r="L255" s="1"/>
  <c r="M255"/>
  <c r="L258"/>
  <c r="M258"/>
  <c r="L263"/>
  <c r="M263"/>
  <c r="L267"/>
  <c r="L274"/>
  <c r="L277"/>
  <c r="L280"/>
  <c r="M292"/>
  <c r="L295"/>
  <c r="L296" s="1"/>
  <c r="M296"/>
  <c r="L298"/>
  <c r="L300" s="1"/>
  <c r="M300"/>
  <c r="G232"/>
  <c r="D232" s="1"/>
  <c r="G124"/>
  <c r="K52"/>
  <c r="K252"/>
  <c r="I85"/>
  <c r="I84"/>
  <c r="I107"/>
  <c r="I108"/>
  <c r="G262"/>
  <c r="G261"/>
  <c r="G299"/>
  <c r="G295"/>
  <c r="G282"/>
  <c r="G279"/>
  <c r="F261"/>
  <c r="G234"/>
  <c r="G220"/>
  <c r="G215"/>
  <c r="G212"/>
  <c r="G210"/>
  <c r="G207"/>
  <c r="G206"/>
  <c r="G184"/>
  <c r="G183"/>
  <c r="G181"/>
  <c r="G175"/>
  <c r="G176"/>
  <c r="G174"/>
  <c r="G169"/>
  <c r="G148"/>
  <c r="G146"/>
  <c r="G142"/>
  <c r="G141"/>
  <c r="G130"/>
  <c r="G129"/>
  <c r="G121"/>
  <c r="G100"/>
  <c r="G101"/>
  <c r="G76"/>
  <c r="G72"/>
  <c r="G67"/>
  <c r="G48"/>
  <c r="G43"/>
  <c r="G41"/>
  <c r="G39"/>
  <c r="G59"/>
  <c r="G52"/>
  <c r="H37"/>
  <c r="H27"/>
  <c r="G21"/>
  <c r="I254"/>
  <c r="I235"/>
  <c r="I236"/>
  <c r="I237"/>
  <c r="I238"/>
  <c r="I239"/>
  <c r="I240"/>
  <c r="I241"/>
  <c r="I242"/>
  <c r="I243"/>
  <c r="I165"/>
  <c r="I166"/>
  <c r="I167"/>
  <c r="I168"/>
  <c r="K16"/>
  <c r="J16"/>
  <c r="H244"/>
  <c r="J244"/>
  <c r="K244"/>
  <c r="F244"/>
  <c r="E244"/>
  <c r="D243"/>
  <c r="G267"/>
  <c r="L244" l="1"/>
  <c r="M302"/>
  <c r="L292"/>
  <c r="M293"/>
  <c r="G231"/>
  <c r="G166"/>
  <c r="D242"/>
  <c r="G254"/>
  <c r="H255"/>
  <c r="J255"/>
  <c r="E255"/>
  <c r="G253"/>
  <c r="F253"/>
  <c r="F255" s="1"/>
  <c r="D241"/>
  <c r="D240"/>
  <c r="I21"/>
  <c r="D239"/>
  <c r="D238"/>
  <c r="L302" l="1"/>
  <c r="L293"/>
  <c r="G255"/>
  <c r="D254"/>
  <c r="I183"/>
  <c r="G177" l="1"/>
  <c r="D237"/>
  <c r="G78"/>
  <c r="D236"/>
  <c r="I257"/>
  <c r="I49"/>
  <c r="G57" l="1"/>
  <c r="I48"/>
  <c r="E36" l="1"/>
  <c r="F36"/>
  <c r="G36"/>
  <c r="I36"/>
  <c r="J36"/>
  <c r="K36"/>
  <c r="K255"/>
  <c r="I169"/>
  <c r="D37" l="1"/>
  <c r="I100"/>
  <c r="I253"/>
  <c r="D253"/>
  <c r="I252"/>
  <c r="D252"/>
  <c r="G191"/>
  <c r="D191" s="1"/>
  <c r="I192"/>
  <c r="I191"/>
  <c r="J263"/>
  <c r="K263"/>
  <c r="I258"/>
  <c r="J258"/>
  <c r="K258"/>
  <c r="G149"/>
  <c r="I299"/>
  <c r="F263"/>
  <c r="G263"/>
  <c r="H263"/>
  <c r="E263"/>
  <c r="F258"/>
  <c r="G258"/>
  <c r="H258"/>
  <c r="E258"/>
  <c r="I262"/>
  <c r="D262"/>
  <c r="I261"/>
  <c r="D261"/>
  <c r="I260"/>
  <c r="D260"/>
  <c r="D257"/>
  <c r="K250"/>
  <c r="J250"/>
  <c r="H250"/>
  <c r="G250"/>
  <c r="F250"/>
  <c r="E250"/>
  <c r="I249"/>
  <c r="D249"/>
  <c r="I248"/>
  <c r="D248"/>
  <c r="I247"/>
  <c r="D247"/>
  <c r="I246"/>
  <c r="D246"/>
  <c r="D235"/>
  <c r="I146"/>
  <c r="I147"/>
  <c r="I148"/>
  <c r="I149"/>
  <c r="I150"/>
  <c r="I151"/>
  <c r="I62"/>
  <c r="I63"/>
  <c r="I38"/>
  <c r="I39"/>
  <c r="I40"/>
  <c r="D192"/>
  <c r="I118"/>
  <c r="I119"/>
  <c r="I120"/>
  <c r="I121"/>
  <c r="I122"/>
  <c r="I123"/>
  <c r="I124"/>
  <c r="I125"/>
  <c r="I230"/>
  <c r="I231"/>
  <c r="I233"/>
  <c r="I234"/>
  <c r="D234"/>
  <c r="I97"/>
  <c r="I98"/>
  <c r="I185"/>
  <c r="G98"/>
  <c r="G73"/>
  <c r="I255" l="1"/>
  <c r="D255"/>
  <c r="I263"/>
  <c r="D258"/>
  <c r="D263"/>
  <c r="I250"/>
  <c r="D250"/>
  <c r="I207"/>
  <c r="I174"/>
  <c r="I175"/>
  <c r="I176"/>
  <c r="I177"/>
  <c r="I178"/>
  <c r="G91" l="1"/>
  <c r="G89"/>
  <c r="G139"/>
  <c r="I57"/>
  <c r="I58"/>
  <c r="I59"/>
  <c r="I60"/>
  <c r="I61"/>
  <c r="I101"/>
  <c r="I99"/>
  <c r="G179"/>
  <c r="G61"/>
  <c r="H28"/>
  <c r="G46"/>
  <c r="I281"/>
  <c r="I222"/>
  <c r="I216" l="1"/>
  <c r="I164"/>
  <c r="D142"/>
  <c r="H35"/>
  <c r="I41"/>
  <c r="I218"/>
  <c r="G218"/>
  <c r="I179"/>
  <c r="I180"/>
  <c r="I181"/>
  <c r="H30"/>
  <c r="G82"/>
  <c r="G93"/>
  <c r="H26"/>
  <c r="D233"/>
  <c r="D231"/>
  <c r="D230"/>
  <c r="D171"/>
  <c r="I171"/>
  <c r="D172"/>
  <c r="I172"/>
  <c r="D173"/>
  <c r="I173"/>
  <c r="D281"/>
  <c r="H33"/>
  <c r="I228"/>
  <c r="D228"/>
  <c r="I16"/>
  <c r="I201"/>
  <c r="I126"/>
  <c r="D229"/>
  <c r="I229"/>
  <c r="I224"/>
  <c r="I225"/>
  <c r="I226"/>
  <c r="I227"/>
  <c r="D227"/>
  <c r="I184"/>
  <c r="I52"/>
  <c r="I152"/>
  <c r="I153"/>
  <c r="I129"/>
  <c r="I130"/>
  <c r="G45"/>
  <c r="I43"/>
  <c r="I44"/>
  <c r="I45"/>
  <c r="I46"/>
  <c r="I42"/>
  <c r="I89"/>
  <c r="I90"/>
  <c r="I91"/>
  <c r="I92"/>
  <c r="I93"/>
  <c r="I170"/>
  <c r="G170"/>
  <c r="I96"/>
  <c r="I55"/>
  <c r="I102"/>
  <c r="I47"/>
  <c r="I131"/>
  <c r="I206"/>
  <c r="I133"/>
  <c r="I134"/>
  <c r="I135"/>
  <c r="I136"/>
  <c r="I137"/>
  <c r="I138"/>
  <c r="I139"/>
  <c r="I140"/>
  <c r="I141"/>
  <c r="I142"/>
  <c r="I186"/>
  <c r="I103"/>
  <c r="I82"/>
  <c r="I83"/>
  <c r="I208"/>
  <c r="I203"/>
  <c r="I298"/>
  <c r="I86"/>
  <c r="I67"/>
  <c r="I68"/>
  <c r="I69"/>
  <c r="I70"/>
  <c r="I78"/>
  <c r="I72"/>
  <c r="I73"/>
  <c r="I74"/>
  <c r="I75"/>
  <c r="I76"/>
  <c r="I77"/>
  <c r="I71"/>
  <c r="I182"/>
  <c r="G56"/>
  <c r="I56"/>
  <c r="I223"/>
  <c r="G277"/>
  <c r="I187"/>
  <c r="G133"/>
  <c r="G147"/>
  <c r="G244" l="1"/>
  <c r="G153"/>
  <c r="G70"/>
  <c r="G126"/>
  <c r="H29" l="1"/>
  <c r="H31"/>
  <c r="G47"/>
  <c r="H32"/>
  <c r="G131"/>
  <c r="G55"/>
  <c r="I282"/>
  <c r="I283"/>
  <c r="I284"/>
  <c r="I285"/>
  <c r="I286"/>
  <c r="I287"/>
  <c r="I288"/>
  <c r="I289"/>
  <c r="I290"/>
  <c r="I291"/>
  <c r="F292"/>
  <c r="H292"/>
  <c r="J292"/>
  <c r="K292"/>
  <c r="E292"/>
  <c r="D282"/>
  <c r="D283"/>
  <c r="D284"/>
  <c r="D285"/>
  <c r="D286"/>
  <c r="D287"/>
  <c r="D288"/>
  <c r="D289"/>
  <c r="D290"/>
  <c r="D291"/>
  <c r="I280"/>
  <c r="I295"/>
  <c r="I296" s="1"/>
  <c r="I17"/>
  <c r="J17"/>
  <c r="K17"/>
  <c r="I23"/>
  <c r="J23"/>
  <c r="K23"/>
  <c r="I50"/>
  <c r="J50"/>
  <c r="K50"/>
  <c r="I300"/>
  <c r="J300"/>
  <c r="K300"/>
  <c r="J296"/>
  <c r="K296"/>
  <c r="I160"/>
  <c r="J160"/>
  <c r="K160"/>
  <c r="I154"/>
  <c r="J155"/>
  <c r="K155"/>
  <c r="J143"/>
  <c r="K143"/>
  <c r="I127"/>
  <c r="J127"/>
  <c r="K127"/>
  <c r="J116"/>
  <c r="K116"/>
  <c r="J111"/>
  <c r="K111"/>
  <c r="I53"/>
  <c r="J53"/>
  <c r="K53"/>
  <c r="I65"/>
  <c r="J65"/>
  <c r="K65"/>
  <c r="I79"/>
  <c r="J79"/>
  <c r="K79"/>
  <c r="J104"/>
  <c r="K104"/>
  <c r="I109"/>
  <c r="I111" s="1"/>
  <c r="I115"/>
  <c r="I114"/>
  <c r="I132"/>
  <c r="I143" s="1"/>
  <c r="I145"/>
  <c r="I94"/>
  <c r="I95"/>
  <c r="I190"/>
  <c r="I193"/>
  <c r="I194"/>
  <c r="I195"/>
  <c r="I196"/>
  <c r="I197"/>
  <c r="I163"/>
  <c r="I162"/>
  <c r="I81"/>
  <c r="I214"/>
  <c r="I215"/>
  <c r="I220"/>
  <c r="I88"/>
  <c r="I209"/>
  <c r="I210"/>
  <c r="I211"/>
  <c r="I212"/>
  <c r="I199"/>
  <c r="I200"/>
  <c r="I213"/>
  <c r="I198"/>
  <c r="I189"/>
  <c r="I265"/>
  <c r="I266"/>
  <c r="I267"/>
  <c r="I268"/>
  <c r="I269"/>
  <c r="I270"/>
  <c r="I87"/>
  <c r="I272"/>
  <c r="I273"/>
  <c r="I274"/>
  <c r="I275"/>
  <c r="I276"/>
  <c r="I277"/>
  <c r="I278"/>
  <c r="I279"/>
  <c r="I271"/>
  <c r="G96"/>
  <c r="G109"/>
  <c r="J293" l="1"/>
  <c r="K293"/>
  <c r="H36"/>
  <c r="H50" s="1"/>
  <c r="J302"/>
  <c r="K302"/>
  <c r="I116"/>
  <c r="I292"/>
  <c r="I104"/>
  <c r="I155"/>
  <c r="I188"/>
  <c r="I244" s="1"/>
  <c r="H143"/>
  <c r="G143"/>
  <c r="F143"/>
  <c r="E143"/>
  <c r="H300"/>
  <c r="G300"/>
  <c r="F300"/>
  <c r="E300"/>
  <c r="D299"/>
  <c r="D298"/>
  <c r="H296"/>
  <c r="G296"/>
  <c r="F296"/>
  <c r="E296"/>
  <c r="D295"/>
  <c r="I293" l="1"/>
  <c r="I302"/>
  <c r="D300"/>
  <c r="D296"/>
  <c r="G280" l="1"/>
  <c r="D280" s="1"/>
  <c r="G274"/>
  <c r="D274" s="1"/>
  <c r="D266"/>
  <c r="D267"/>
  <c r="D268"/>
  <c r="D269"/>
  <c r="D270"/>
  <c r="D271"/>
  <c r="D272"/>
  <c r="D275"/>
  <c r="D276"/>
  <c r="D277"/>
  <c r="D278"/>
  <c r="D279"/>
  <c r="D265"/>
  <c r="G273"/>
  <c r="D222"/>
  <c r="D223"/>
  <c r="E155"/>
  <c r="F155"/>
  <c r="H155"/>
  <c r="G155"/>
  <c r="E127"/>
  <c r="F127"/>
  <c r="H127"/>
  <c r="G127"/>
  <c r="E104"/>
  <c r="F104"/>
  <c r="H104"/>
  <c r="D154"/>
  <c r="D141"/>
  <c r="D126"/>
  <c r="D140"/>
  <c r="D139"/>
  <c r="D138"/>
  <c r="D153"/>
  <c r="D152"/>
  <c r="D151"/>
  <c r="D150"/>
  <c r="D149"/>
  <c r="D148"/>
  <c r="D147"/>
  <c r="D146"/>
  <c r="D145"/>
  <c r="D220"/>
  <c r="D224"/>
  <c r="D225"/>
  <c r="D226"/>
  <c r="D122"/>
  <c r="E79"/>
  <c r="F79"/>
  <c r="H79"/>
  <c r="G79"/>
  <c r="D78"/>
  <c r="D77"/>
  <c r="D221"/>
  <c r="D219"/>
  <c r="D218"/>
  <c r="D217"/>
  <c r="D216"/>
  <c r="D76"/>
  <c r="D215"/>
  <c r="D214"/>
  <c r="D213"/>
  <c r="D212"/>
  <c r="D211"/>
  <c r="D210"/>
  <c r="D209"/>
  <c r="D208"/>
  <c r="D202"/>
  <c r="D203"/>
  <c r="D204"/>
  <c r="D205"/>
  <c r="D206"/>
  <c r="D207"/>
  <c r="D201"/>
  <c r="D200"/>
  <c r="D199"/>
  <c r="D198"/>
  <c r="D197"/>
  <c r="D196"/>
  <c r="G104"/>
  <c r="D103"/>
  <c r="D195"/>
  <c r="D75"/>
  <c r="D194"/>
  <c r="D193"/>
  <c r="D190"/>
  <c r="D187"/>
  <c r="D188"/>
  <c r="D189"/>
  <c r="D186"/>
  <c r="D185"/>
  <c r="D184"/>
  <c r="D183"/>
  <c r="D182"/>
  <c r="D181"/>
  <c r="D178"/>
  <c r="D180"/>
  <c r="D179"/>
  <c r="D177"/>
  <c r="D176"/>
  <c r="D175"/>
  <c r="D174"/>
  <c r="D170"/>
  <c r="D169"/>
  <c r="D168"/>
  <c r="D167"/>
  <c r="D166"/>
  <c r="D165"/>
  <c r="D164"/>
  <c r="D162"/>
  <c r="D163"/>
  <c r="E160"/>
  <c r="F160"/>
  <c r="H160"/>
  <c r="G160"/>
  <c r="D157"/>
  <c r="D158"/>
  <c r="D159"/>
  <c r="E50"/>
  <c r="F50"/>
  <c r="H53"/>
  <c r="E53"/>
  <c r="E65"/>
  <c r="F65"/>
  <c r="H65"/>
  <c r="E111"/>
  <c r="F111"/>
  <c r="H111"/>
  <c r="E116"/>
  <c r="F116"/>
  <c r="H116"/>
  <c r="D118"/>
  <c r="D119"/>
  <c r="D120"/>
  <c r="D121"/>
  <c r="D123"/>
  <c r="D124"/>
  <c r="D125"/>
  <c r="D129"/>
  <c r="D130"/>
  <c r="D131"/>
  <c r="D132"/>
  <c r="D133"/>
  <c r="D134"/>
  <c r="D135"/>
  <c r="D136"/>
  <c r="D137"/>
  <c r="G116"/>
  <c r="D114"/>
  <c r="D115"/>
  <c r="D113"/>
  <c r="G111"/>
  <c r="D107"/>
  <c r="D108"/>
  <c r="D109"/>
  <c r="D110"/>
  <c r="D106"/>
  <c r="D86"/>
  <c r="D85"/>
  <c r="D273" l="1"/>
  <c r="G292"/>
  <c r="D155"/>
  <c r="D127"/>
  <c r="D143"/>
  <c r="D160"/>
  <c r="D104"/>
  <c r="D111"/>
  <c r="D116"/>
  <c r="D88"/>
  <c r="D89"/>
  <c r="D90"/>
  <c r="D91"/>
  <c r="D92"/>
  <c r="D93"/>
  <c r="D94"/>
  <c r="D95"/>
  <c r="D96"/>
  <c r="D97"/>
  <c r="D98"/>
  <c r="D99"/>
  <c r="D100"/>
  <c r="D101"/>
  <c r="D102"/>
  <c r="D79"/>
  <c r="D87"/>
  <c r="D84"/>
  <c r="D83"/>
  <c r="D82"/>
  <c r="D81"/>
  <c r="D80"/>
  <c r="D68"/>
  <c r="D69"/>
  <c r="D70"/>
  <c r="D71"/>
  <c r="D72"/>
  <c r="D73"/>
  <c r="D74"/>
  <c r="D67"/>
  <c r="G65"/>
  <c r="D60"/>
  <c r="D61"/>
  <c r="D62"/>
  <c r="D56"/>
  <c r="D57"/>
  <c r="D58"/>
  <c r="D59"/>
  <c r="D55"/>
  <c r="D66"/>
  <c r="D64"/>
  <c r="D63"/>
  <c r="F53"/>
  <c r="G53"/>
  <c r="G50"/>
  <c r="D50" s="1"/>
  <c r="D35"/>
  <c r="D34"/>
  <c r="E17"/>
  <c r="F17"/>
  <c r="G17"/>
  <c r="H17"/>
  <c r="H293" s="1"/>
  <c r="H23"/>
  <c r="E23"/>
  <c r="F23"/>
  <c r="G23"/>
  <c r="D54"/>
  <c r="D52"/>
  <c r="D51"/>
  <c r="D49"/>
  <c r="D48"/>
  <c r="D47"/>
  <c r="D46"/>
  <c r="D45"/>
  <c r="D44"/>
  <c r="D43"/>
  <c r="D42"/>
  <c r="D41"/>
  <c r="D40"/>
  <c r="D39"/>
  <c r="D38"/>
  <c r="D33"/>
  <c r="D32"/>
  <c r="D31"/>
  <c r="D30"/>
  <c r="D29"/>
  <c r="D28"/>
  <c r="D27"/>
  <c r="D26"/>
  <c r="D20"/>
  <c r="D21"/>
  <c r="D22"/>
  <c r="D24"/>
  <c r="D19"/>
  <c r="D16"/>
  <c r="E293" l="1"/>
  <c r="G293"/>
  <c r="F293"/>
  <c r="D36"/>
  <c r="E302"/>
  <c r="F302"/>
  <c r="H302"/>
  <c r="D53"/>
  <c r="G302"/>
  <c r="D292"/>
  <c r="D65"/>
  <c r="D17"/>
  <c r="D23"/>
  <c r="D244" l="1"/>
  <c r="D302" l="1"/>
  <c r="D293"/>
</calcChain>
</file>

<file path=xl/sharedStrings.xml><?xml version="1.0" encoding="utf-8"?>
<sst xmlns="http://schemas.openxmlformats.org/spreadsheetml/2006/main" count="551" uniqueCount="543">
  <si>
    <t xml:space="preserve">Корректировка генеральной   схемы очистки  городского округа </t>
  </si>
  <si>
    <t>№п/п</t>
  </si>
  <si>
    <t>Ремонт тротуаров</t>
  </si>
  <si>
    <t>г. Зеленоградск строительство газопровода ул. Осипенко</t>
  </si>
  <si>
    <t>1.1.</t>
  </si>
  <si>
    <t>Выполнение электромонтажных работ по  устройству уличного освещения г. Зеленоградск ул. Полищука</t>
  </si>
  <si>
    <t>Выполнение работ по установке дополнительных светофоров  и звукового сигнализатора на светофорном объектк в г. Зеленоградске</t>
  </si>
  <si>
    <t xml:space="preserve">Выполнение работ  по ремонту подъездной  дороги к пос. Калиново </t>
  </si>
  <si>
    <t xml:space="preserve">Ремонт опоры  линии электропередач в г. Зеленоградске </t>
  </si>
  <si>
    <t>Поставка урн  для нужд муниципального образования</t>
  </si>
  <si>
    <t xml:space="preserve">Выполнение ПСД по объекту "Участок распределительного  газопровода  и газового ввода  к жилыму дому по ул. Герцена 13-а </t>
  </si>
  <si>
    <t xml:space="preserve">Смотровая площадка на променаде </t>
  </si>
  <si>
    <t>Выполнение работ по повторному нанесению разметки на резиновом покрытии на променеде в г.Зеленоградске</t>
  </si>
  <si>
    <t>Врезка в действующий внутренний газопровод по ул.Московская д,3 кв.2</t>
  </si>
  <si>
    <t>Ремонт кровли ДК п. Поваровка</t>
  </si>
  <si>
    <t xml:space="preserve">Выполнение работ по корректировке рабочей документации "Межпоселковый газопровод высокого давления от г. Калининграда пос. Переславское, Кумачёво, Зелёный Гай 1-й этап" </t>
  </si>
  <si>
    <t>Реконструкция Курортного проспекта</t>
  </si>
  <si>
    <t>Изготовление гранитной плиты  и гравировки  на памятнике погибшим-войнам мотоциклистам 1945г.</t>
  </si>
  <si>
    <t xml:space="preserve"> </t>
  </si>
  <si>
    <t>наименование объекта, адрес</t>
  </si>
  <si>
    <t>Средства бюджета городского округа</t>
  </si>
  <si>
    <t>Общий объем финансирования</t>
  </si>
  <si>
    <t>Приложение к постановлению администрации МО "Зеленоградский городской округ"</t>
  </si>
  <si>
    <t xml:space="preserve">Адресный инвестиционный перечень объектов капитальных вложений муниципального образования "Зеленоградский городской округ" </t>
  </si>
  <si>
    <t>Распорядитель бюджетных средств - Администрация МО "Зеленоградский городской округ"</t>
  </si>
  <si>
    <t>Средства областного бюджета</t>
  </si>
  <si>
    <t>Средства федерального бюджета</t>
  </si>
  <si>
    <t xml:space="preserve"> 1.    Объекты Федеральной целевой программы</t>
  </si>
  <si>
    <t>Межпоселковый газопровод высокого давления от г. Калининграда к поселкам Переславское, Кумачево, Зеленый Гай Зеленоградского района - 1 этап"</t>
  </si>
  <si>
    <t>Средства дорожного фонда</t>
  </si>
  <si>
    <t>тыс.руб</t>
  </si>
  <si>
    <t xml:space="preserve">на 2018 год </t>
  </si>
  <si>
    <t>Разработка проектной и рабочей документации по объекту "Газификация пос.Кострово, пос.Логвино Зеленоградского района"</t>
  </si>
  <si>
    <t>Прокладка тепловых сетей с устройством тепловых пунктов в г.Зеленоградске Калининградской области</t>
  </si>
  <si>
    <t>Разработка проектной и рабочей документации по объекту "Межпоселковый газопровод высокого давления от г.Калининграда к поселкам Переславское,Кумачево,Зеленый Гай Зеленоградского района-II этап"</t>
  </si>
  <si>
    <t>Разработка проектной и рабочей документации по объекту "Реконструкция очистных сооружений в пос.Рыбачий Зеленоградского района Калининградской области"</t>
  </si>
  <si>
    <t>ИТОГО ПО ОИП</t>
  </si>
  <si>
    <t>ИТОГО ПО ФЦП</t>
  </si>
  <si>
    <t xml:space="preserve"> 2.    Объекты Областной адресной инвестиционной программы</t>
  </si>
  <si>
    <t>3.  Ремонт дорог</t>
  </si>
  <si>
    <t>Выполнение работ по ремонту дорожного покрытия на ул.Офицерской в пос.Переславское Зеленоградского района</t>
  </si>
  <si>
    <t>Выполнение работ по ремонту подъездной дороги к пос.Калиново Зеленоградского район</t>
  </si>
  <si>
    <t>Выполнение работ по ремонту асфальтобетонного покрытия на ул.Балтийской в г.Зеленоградске</t>
  </si>
  <si>
    <t>Выполнение работ по ремонту асфальтобетонного покрытия на ул.Бровцева в г.Зеленоградске</t>
  </si>
  <si>
    <t>Выполнение работ по ремонту асфальтобетонного покрытия на ул.Подлесной в г.Зеленоградске</t>
  </si>
  <si>
    <t>Выполнение работ по ремонту асфальтобетонного покрытия на ул.Автодорожной в г.Зеленоградске</t>
  </si>
  <si>
    <t xml:space="preserve">Выполнение работ по ремонту дорожного покрытия на ул.Солнечная (в районе автобесной остановки), ул.М.Расковой (в районе д.4), ул.Октябрьской (в районе д.4), ул.Володарского( в районе д 5 по ул.Чкалова), ул.Ленина(в районе дома №15) в г.Зеленоградске </t>
  </si>
  <si>
    <t>Выполнение работ по ямочному ремонту дорожного покрытия на ул.Гагарина, ул.Ленина, ул.Сибирякова, ул.Московской, ул.Октябрьской, ул.Володарского, ул.Потёмкина, ул.Марины Расковой, ул.Вокзальной, ул.Солнечной, 2-го Приморского пер. г.Зеленоградска Калининградской области</t>
  </si>
  <si>
    <t>Выполнение работ по ремонту въездов во дворы жилых домов в г.Зеленоградске</t>
  </si>
  <si>
    <t>Выполнение работ по ремонту автодороги в пос.Вишнёвое Зеленоградского городского округа</t>
  </si>
  <si>
    <t>Выполнение работ по ремонту асфальтового покрытия на ул. Осипенко в г.Зеленоградске</t>
  </si>
  <si>
    <t>Выполнение  работ по ремонту асфальтного покрытия в районе дома № 5 по ул.Крылова в г.Зеленогадске</t>
  </si>
  <si>
    <r>
      <t>Выполнение работ по р</t>
    </r>
    <r>
      <rPr>
        <sz val="11"/>
        <rFont val="Times New Roman"/>
        <family val="1"/>
        <charset val="204"/>
      </rPr>
      <t>емонту асфальтобетонного покрытия по ул. Первомайской в г.Зеленоградске</t>
    </r>
  </si>
  <si>
    <t xml:space="preserve"> Поставка боя бетона для нужд муниципального образования "Зеленоградский городской округ" </t>
  </si>
  <si>
    <t>Итого по ремонту дорог</t>
  </si>
  <si>
    <t>4. Программа формирование современной городской среды</t>
  </si>
  <si>
    <t>Итого по программе формирование современной городской среды</t>
  </si>
  <si>
    <t>5.Оборудование пешеходных переходов</t>
  </si>
  <si>
    <t>Выполнение работ по оборудованию пешеходного перехода в пос.Рыбачий Зеленоградского района</t>
  </si>
  <si>
    <t>Выполнение работ по устройству подсветки пешеходного перехода по ул.Железнодорожной в гЗеленоградске</t>
  </si>
  <si>
    <t>Выполнение работ по устройству подсветки пешеходного перехода на перекрестке ул.Ленина и ул.Железнодорожной в г.Зеленоградске</t>
  </si>
  <si>
    <t xml:space="preserve">Выполнение работ по устройству подсветки пешеходного перехода на ул.Тургенева в г. Зеленоградске Калининградской области </t>
  </si>
  <si>
    <t xml:space="preserve">Выполнение работ по устройству подсветки пешеходного перехода на ул. Ленина в г. Зеленоградске Калининградской области </t>
  </si>
  <si>
    <t xml:space="preserve">Выполнение электромонтажных работ по устройству освещения пешеходных переходов по ул.Окружной в районе ЗЦРБ в г.Зеленоградске Калининградской области </t>
  </si>
  <si>
    <t xml:space="preserve">Выполнение электромонтажных работ по устройству освещения пешеходных переходов по ул.Окружной в районе ТЦ "Спар" в г.Зеленоградске Калининградской области </t>
  </si>
  <si>
    <t xml:space="preserve">Выполнение электромонтажных работ по устройству освещения пешеходных переходов по ул.Окружной в районе ТЦ "Виктория" в г.Зеленоградске Калининградской области </t>
  </si>
  <si>
    <t>Поставка и установка знаков дорожного движения для нужд муниципального образования "Зеленоградский городской округ"</t>
  </si>
  <si>
    <t xml:space="preserve">Выполнение работ по проектированию комплексной схемы организации дорожного движения (КСОДД) города Зеленоградска </t>
  </si>
  <si>
    <t>Итого по оборудованию пешеходных переходов</t>
  </si>
  <si>
    <t>6. Ремонт тротуаров</t>
  </si>
  <si>
    <t>Выполнение работ по устройству тратуара по ул. Лесопарковая (со стороны  МУЗ ЗЦРБ в г. Зеленоградске)</t>
  </si>
  <si>
    <t>Выполнение работ по ремонту спуска от жилого дома №15 по ул.Победы на ул. Крылова в г.Зеленоградске</t>
  </si>
  <si>
    <t xml:space="preserve">Выполнение работ по устройству тротуара из плитки по ул.Лермонтова в г.Зеленоградске </t>
  </si>
  <si>
    <t>Выполнение работ  по ремонту тратуара с заменой асфальтового покрытия на плиточное во дворе ул. Победы д15-19 в г.Зеленоградске</t>
  </si>
  <si>
    <t>Выполнение работ по обустройству дорожек из тротуарной плитки на территории МАДОУ детский сад пос.Муромское Зеленоградского района</t>
  </si>
  <si>
    <t>7. Строительство уличного освещения</t>
  </si>
  <si>
    <t>Выполнение электромонтажных работ по устройству уличного освещения на ул. Окружной в г. Зеленоградске</t>
  </si>
  <si>
    <t xml:space="preserve">Выполнение электромонтажных работ по устройству искусственного освещения по ул.Железнодорожной в г.Зеленоградске </t>
  </si>
  <si>
    <t xml:space="preserve">Выполнение электромонтажных работ по устройству наружной подсветки здания по адресу: Калининградская область, г.Зеленоградск, ул.Ленина, 1 </t>
  </si>
  <si>
    <t xml:space="preserve">Трибуна металлическая сборно-разборная 3-х рядная на 300 посадочных мест с навесом </t>
  </si>
  <si>
    <t>Выполнение электромонтажных работ по устройству уличного освещения на 2-м Московском переулке в г.Зеленоградске</t>
  </si>
  <si>
    <t>Выполнение электромонтажных работ по устройству подстветки Бювета на ул.Тургенева в г.Зеленоградске</t>
  </si>
  <si>
    <t xml:space="preserve">Выполнение электромонтажных работ по устройству уличного освещения на ул.Новой в п.Моховое </t>
  </si>
  <si>
    <t>Выполнение электромонтажных работ по реконструкции уличного освещения на ул.Советской в п.Романово</t>
  </si>
  <si>
    <t>Выполнение электромонтажных работ по монтажу уличного освещения в пос.Охотное Зеленоградского района</t>
  </si>
  <si>
    <t>Выполнение электромонтажных работ по замене опор к скважине в п.Холмы Зеленоградского района</t>
  </si>
  <si>
    <t>Выполнение электромонтажных работ по устройству уличного освещения в пос.Ягодное Зеленоградского района</t>
  </si>
  <si>
    <t>Выполнение электромонтажных работ по монтажу уличного освещения  ул. Молодёжная, Строительная, Пролетарская в пос. Дворики Зеленоградского района</t>
  </si>
  <si>
    <t>Выполнение электромонтажных работ по замене опор к скважине в п.Сокольники Зеленоградского района</t>
  </si>
  <si>
    <t>Выполнение электромонтажных работ по устройству уличного освещения на ул.Калининградское шоссе в п.Кострово</t>
  </si>
  <si>
    <t>Выполнение электромонтажных работ по устройству уличного освещения в пер.Уютный в пос.Холмогоровка</t>
  </si>
  <si>
    <t>Выполнение электромонтажных работ по устройству уличного освещения в парке п.Колосовка</t>
  </si>
  <si>
    <t xml:space="preserve">Выполнение электромонтажных работ по устройству уличного освещения на ул.Школьная, ул.Центральная, ул.Молодёжная в пос.Логвино Зеленоградского района </t>
  </si>
  <si>
    <t>Выполнение электромонтажных работ по устройству уличного освещения на ул.Балтийской в пос.Заостровье</t>
  </si>
  <si>
    <t xml:space="preserve">Выполнение электромонтажных работ по устройству уличного освещения на ул.Лесной и ул.Пионерской в пос.Куликово Зеленоградского района </t>
  </si>
  <si>
    <t>8. Мероприятия, предусмотренные программой модернизации систем водоснабжения</t>
  </si>
  <si>
    <t xml:space="preserve">Выполнение работ по демонтажу старой и монтажу новой водонапорной башни "Рожновского" в пос.Коврово Зеленоградского района </t>
  </si>
  <si>
    <t xml:space="preserve">Выполнение работ по демонтажу старой и монтажу новой водонапорной башни "Рожновского" в пос.Муромское Зеленоградского района </t>
  </si>
  <si>
    <t>Реконструкция жилого дома по ул.Носова д.14 в п.Дунаевка</t>
  </si>
  <si>
    <t>Выполнение работ по установке наружных сетей связи, табло,системы звуковой трансляции и системы видеонаблюдения(СТАДИОН)</t>
  </si>
  <si>
    <t>Поставка звукового и видеооборудования для стадиона в г. Зеленоградске (СТАДИОН)</t>
  </si>
  <si>
    <t>Выполнение работ по ремонту помещений административного здания по адресу: г.Зеленоградск, Курортный ,20</t>
  </si>
  <si>
    <t>Ремонт фасада МАДОУ ЦРР -детский сад № 6  г.Зеленоградска</t>
  </si>
  <si>
    <t>Выполнение работ по ямочному ремонту дорожного покрытия в п.Переславское</t>
  </si>
  <si>
    <t>Выполнение работ по устройству светофорного объекта в г.Зеленоградске</t>
  </si>
  <si>
    <t>Выполнение работ по устройству наружного освещения в г.Зеленоградске (СТАДИОН)</t>
  </si>
  <si>
    <t>Выполнение работ по строительству распределительного газопровода и газопровода-ввода к жилому дому, расположенного по адресу: Зеленоградский район, пос. Малиновка, Калиновый пер., 2.</t>
  </si>
  <si>
    <t xml:space="preserve">Выполнение работ по строительству водопроводной сети в пос.Рощино Зеленоградского района </t>
  </si>
  <si>
    <t xml:space="preserve">Ремонт водопроводных сетей  на ул. Молодёжная  ул. Лесная в п. Красноторовка </t>
  </si>
  <si>
    <t xml:space="preserve">Выполнение работ по устройству водопровода на Приозёрном пер. 1 в пос.Романово Зеленоградского района  </t>
  </si>
  <si>
    <t>Итого по программе модернизации водоснабжения</t>
  </si>
  <si>
    <t>9. Ремонт инженерных сетей</t>
  </si>
  <si>
    <t>Выполнение работ по ремонту теплотрассы в пос.Переславское Зеленоградского района Калининградской области</t>
  </si>
  <si>
    <t xml:space="preserve"> Выполнение работ по монтажу терморегулятора в школе пос. Рыбачий Зеленоградского района </t>
  </si>
  <si>
    <t xml:space="preserve"> Выполнение работ по устройству напорной канализационной сети в пос. Переславское Зеленоградского района </t>
  </si>
  <si>
    <t>10. Ремонт школ и детских садов</t>
  </si>
  <si>
    <t>Выполнение работ по ремонту кровли здания зала борьбы по адресу: Калининградская область, г.Зеленоградск, ул.Октябрьская, д.4</t>
  </si>
  <si>
    <t xml:space="preserve">Выполнение работ по ремонту фасада здания зала борьбы по адресу: Калининградская область, г.Зеленоградск, ул.Октябрьская, д.4 </t>
  </si>
  <si>
    <t xml:space="preserve">Выполнение работ по ремонту крыльца и здания зала борьбы по адресу: Калининградская область, г.Зеленоградск, ул.Октябрьская, д.4 </t>
  </si>
  <si>
    <t xml:space="preserve">Выполнение работ по замене оконных и дверных блоков в библиотеке им. Куранова по адресу  г. Зеленоградск Ленина д.1 </t>
  </si>
  <si>
    <t>Выполнение работ по ремонту фасада и кровли административного здания по адресу: Калининградская область, г. Зеленоградск, ул.Ленина, 1 (объект культурного наследия)</t>
  </si>
  <si>
    <t xml:space="preserve">Выполнение электромонтажных работ в МАДОУ ЦРР детский сад № 6 в г.Зеленоградске </t>
  </si>
  <si>
    <t xml:space="preserve">Выполнение работ по устройству дренажа у здания Зеленоградского городского краеведческого музея по адресу ул.Ленина, дом № 6 в г.Зеленоградске </t>
  </si>
  <si>
    <t xml:space="preserve">Выполнение работ по ремонту полов в МАДОУ пос.Грачёвка Зеленоградского района </t>
  </si>
  <si>
    <t xml:space="preserve">Выполнение работ по ремонту кровли пристройки библиотеки по адресу: Калининградская область, Зеленоградский район, пос.Грачевка, ул.Центральная, 12 
</t>
  </si>
  <si>
    <t xml:space="preserve">Выполнение работ по ремонту кровли зала ДК в пос.Кострово Зеленоградского района </t>
  </si>
  <si>
    <t xml:space="preserve">Выполнение работ по ремонту внутренних помещений библиотеки по адресу: Калининградская область, Зеленоградский район, пос.Откосово, ул.Советская, 21 </t>
  </si>
  <si>
    <t xml:space="preserve">Выполнение работ по ремонту спортивного зала МАОУ СОШ в пос.Кострово Зеленоградского района Калининградской области 
 </t>
  </si>
  <si>
    <t xml:space="preserve">Выполнение работ по ремонту кровли и отмостки здания библиотеки по адресу: Калининградская область, Зеленоградский район, пос.Откосово, ул.Советская, 21 </t>
  </si>
  <si>
    <t>Выполнение работ по установки пожарной лестницы к зданию МАДОУ детский сад пос.Муромское Зеленоградского района Калининградской области</t>
  </si>
  <si>
    <t xml:space="preserve">Выполнение работ по ремонту кровли, фасада дома культуры в пос.Муромское Зеленоградского района </t>
  </si>
  <si>
    <t>Выполнение работ по ремонту помещений библиотеки по адресу: Калининградская область, Зеленоградский район, пос.Муромское, ул.Садовая, 4</t>
  </si>
  <si>
    <t xml:space="preserve">Выполнение работ по ремонту фасада здания по ул.Саратовской, 10 в г.Зеленоградске </t>
  </si>
  <si>
    <t>Выполнение работ по ремонту фасада здания по ул.Победы, 16 в г.Зеленоградске</t>
  </si>
  <si>
    <t xml:space="preserve">Выполнение работ по монтажу светильников в помещении архива библиотеки в г.Зеленоградске </t>
  </si>
  <si>
    <t xml:space="preserve">Выполнение работ по ремонту кровли здания по адресу: г.Зеленоградск, ул.Крымская,5-а </t>
  </si>
  <si>
    <t>Выполнение работ по ремонту помещений архива в здании по адресу: , г.Зеленоградск, ул.Пограничная, 2</t>
  </si>
  <si>
    <t>Выполнение работ по ремонту кровли здания по адресу: Калининградская область, г.Зеленоградск, ул.Ленина, 20</t>
  </si>
  <si>
    <t>Выполнение работ по ремонту части кровли жилого дома по адресу:  Зеленоградский район, пос.Сальское, ул.Садовая, д.1 (кв.3)</t>
  </si>
  <si>
    <t>Выполнение работ по ремонту кровли жилого дома по адресу:  Зеленоградский район, пос.Романово, ул.Комсомольская, д.6</t>
  </si>
  <si>
    <t>Выполнение работ по ремонту фронтона жилого дома по адресу: Зеленоградский район, пос.Дубровка, д.1</t>
  </si>
  <si>
    <t>Итого по ремонту инженерных сетей</t>
  </si>
  <si>
    <t>Итого по газификации</t>
  </si>
  <si>
    <t>Выполнение работ по строительству распределительного газопровода и газового ввода к жилому жому по ул.Герцена д.13-а вг.Зеленоградске</t>
  </si>
  <si>
    <t>Поставка комплексной геоинформационной системы по автоматизации ведения хозяйственной деятельности органа местного самоуправления</t>
  </si>
  <si>
    <t xml:space="preserve">Выполнение работ по устройству контейнерных площадок на 2 контейнера для сбора ТБО на территории Зеленоградского городского округа </t>
  </si>
  <si>
    <t xml:space="preserve">Выполнение работ по устройству контейнерных площадок на 3 контейнера для сбора ТБО на территории Зеленоградского городского округа </t>
  </si>
  <si>
    <t xml:space="preserve">Выполнение работ по устройству контейнерных площадок на 4 контейнера для сбора ТБО на территории Зеленоградского городского округа 
</t>
  </si>
  <si>
    <t xml:space="preserve">Выполнение работ по устройству контейнерных площадок на 6 контейнеров для сбора ТБО на территории Зеленоградского городского округа 
</t>
  </si>
  <si>
    <t>Выполнение работ по устройству остановочных пунктов на территории муниципального образования "Зеленоградский городской округ</t>
  </si>
  <si>
    <t>Выполнение работ по ремонту остановочных пунктов в г.Зеленоградске Калининградской области</t>
  </si>
  <si>
    <t>Поставка нестационарного выставочного павильона "Длинный Дом Викингов" и его установка в пос.Романово Зеленоградского района Калининградской области</t>
  </si>
  <si>
    <t xml:space="preserve">Выполнение работ по благоустройству зоны отдыха на перекрестке ул.Октябрьской и пер.Курортный с устройством арт-объекта "Колесо Времени" в г.Зеленоградске </t>
  </si>
  <si>
    <t xml:space="preserve">Выполнение работ по ремонту подвальных помещений ЗКП в г.Зеленоградске </t>
  </si>
  <si>
    <t xml:space="preserve">Оказание услуг по художественной росписи стены здания Курортный проспект 22 в г.Зеленоградске </t>
  </si>
  <si>
    <t>Оказание услуг по поставке и установке конструкции по улавливанию разрушающихся элементов фасада здания на Курортном проспекте г.Зеленоградска Калининградской области</t>
  </si>
  <si>
    <t>Изготовление и поставка крупногабаритных электромеханических часов</t>
  </si>
  <si>
    <t>Прокладка тепловых сетей с устройством тепловых пунктов</t>
  </si>
  <si>
    <t>Выполнение работ по рекультивации городского парка в г.Зеленоградске</t>
  </si>
  <si>
    <t xml:space="preserve">Выполнение работ по изготовлению и монтажу металлоконструкций "Велопарковки" в г.Зеленоградска </t>
  </si>
  <si>
    <t>Выполнение работ по ремонту фасада главного входа МАОУ ДЮСШ "Янтарь" в г.Зеленоградске</t>
  </si>
  <si>
    <t xml:space="preserve">Выполнение работ по благоустройству игровой площадки в районе дома № 31 по ул.Московской в г.Зеленоградске </t>
  </si>
  <si>
    <t xml:space="preserve">Выполнение работ по устройству спортивной площадки для занятия воркаутом в г.Зеленоградске </t>
  </si>
  <si>
    <t>Поставка и монтаж детской игровой площадки в пос.Грачёвка Зеленоградского района</t>
  </si>
  <si>
    <t xml:space="preserve">Поставка и монтаж детской игровой площадки на ул.Московской в г.Зеленоградске </t>
  </si>
  <si>
    <t xml:space="preserve">Выполнение работ по благоустройству территории в п.Заостровье Зеленоградского района </t>
  </si>
  <si>
    <t xml:space="preserve">Выполнение работ по благоустройству территории у площадок для сбора ТБО в г.Зеленоградске </t>
  </si>
  <si>
    <t>Поставка легкового автомобиля для нужд муниципального образования "Зеленоградский городской округ"</t>
  </si>
  <si>
    <t xml:space="preserve">Выполнение работ по корректировке типовой проектно-сметной документации на строительство культурно-досуговых центров с учетом привязки проекта к местности в пос. Краснофлотское Зеленоградского района </t>
  </si>
  <si>
    <t>Поставка урн и вазонов для нужд муниципального образования "Зеленоградский городской округ</t>
  </si>
  <si>
    <t xml:space="preserve">Выполнение проектно-сметных работ по объекту: "Реконструкция административного здания по ул.Ленина дом 1 в г.Зеленоградске </t>
  </si>
  <si>
    <t xml:space="preserve">Выполнение работ по ремонту асфальтобетонного покрытия тротуара в пос.Сосновка Зеленоградского района </t>
  </si>
  <si>
    <t xml:space="preserve">Выполнение работ по разработке эскизного проекта и технического задания по объекту: "Реконструкция ул. Ленина в г. Зеленоградске </t>
  </si>
  <si>
    <t xml:space="preserve">Выполнение электромонтажных работ по монтажу уличного освещения на Курортном проспекте от ул. Пограничной до дома № 3 в г.Зеленоградске </t>
  </si>
  <si>
    <t>Поставка ограждения оцинкованного типа для нужд муниципального образования "Зеленоградское городской округ</t>
  </si>
  <si>
    <t>Поставка зрительских трибун для нужд муниципального образования "Зеленоградский городской округ</t>
  </si>
  <si>
    <t>Поставка ворот футбольных для нужд муниципального образования "Зеленоградское городское поселение"</t>
  </si>
  <si>
    <t xml:space="preserve">Выполнение работ по устройству прогулочно-смотровой площадки в западной части променада г.Зеленоградске </t>
  </si>
  <si>
    <t xml:space="preserve">Оказание услуг по изготовлению и поставке одежды для сцены в г.Зеленоградске </t>
  </si>
  <si>
    <t xml:space="preserve">Разработка проектной документации капитального ремонта ул.Морской в пос.Малиновка Зеленоградского района </t>
  </si>
  <si>
    <t xml:space="preserve">Оказание услуг по художественной росписи стены здания Курортный проспект 13 в г.Зеленоградске </t>
  </si>
  <si>
    <t xml:space="preserve">Выполнение работ по демонтажу ФАП в пос.Лесной Зеленоградского района </t>
  </si>
  <si>
    <t xml:space="preserve">Выполнение электромонтажных работ по установке и подключению светодиодных видеоэкранов в г.Зеленоградске </t>
  </si>
  <si>
    <t xml:space="preserve">Выполнение электромонтажных работ по демонтажу металлических опор и замене ВЛ на КЛ на площади "Роза Ветров" в г.Зеленоградске </t>
  </si>
  <si>
    <t>Выполнение работ по монтажу пожарной сигнализации в помещении "Общества инвалидов" по адресу: Калининградская область, г.Зеленоградск, ул.Саратовская, 10</t>
  </si>
  <si>
    <t>Поставка спортивного оборудования для волейбольных площадок пляжного волейбола для нужд муниципального образования "Зеленоградский городской округ</t>
  </si>
  <si>
    <t xml:space="preserve">Выполнение работ по изготовлению и установке перил по ул.Железнодорожной в г.Зеленоградске </t>
  </si>
  <si>
    <t xml:space="preserve">Выполнение работ по устройству тротуара на ул.Школьной в пос.Кострово Зеленоградского района </t>
  </si>
  <si>
    <t>Оказание услуг по изготовлению, поставке, и монтажу баннера для нужд муниципального образования "Зеленоградский городской округ"</t>
  </si>
  <si>
    <t>Оказание услуг по проведению строительного контроля (технического надзора) за выполнением работ по ремонту фасада и кровли административного здания по адресу: Калининградская область, г.Зеленоградск, ул.Ленина, 1 (объект культурного наследия)</t>
  </si>
  <si>
    <t>Выполнение работ по ремонту квартиры расположенной по адресу: Калининградская обл., пос.Колосовка, ул.Гагарина, д.4, кв.2</t>
  </si>
  <si>
    <t>Выполнение работ по разработке рабочей документации по объекту: "Газоснабжение теплогенераторной медпункта (фельдшерско-акушерского пункта) расположенного по адресу: Зеленоградский район, пос.Куликово, ул.Пионерская, 19</t>
  </si>
  <si>
    <t xml:space="preserve">Выполнение работ по устройству тротуара на ул.Крылова в г.Зеленоградске </t>
  </si>
  <si>
    <t xml:space="preserve">Выполнение работ по ремонту кровли ДК в пос.Кострово Зеленоградского района Калининградской области (2-ой этап) 
</t>
  </si>
  <si>
    <t>Выполнение работ по ремонту кровли здания МАДОУ ЦРР - детский сад № 6 расположенный по адресу: Калининградская область, г.Зеленоградск, ул.Московская, д.42</t>
  </si>
  <si>
    <t xml:space="preserve">Оказание услуг по нанесению разметки "Игровая зона" на площади "Роза Ветров" в г.Зеленоградске </t>
  </si>
  <si>
    <t xml:space="preserve">Оказание услуг по нанесению разметки "Велосипедная дорожка" на променаде в г.Зеленоградске </t>
  </si>
  <si>
    <t xml:space="preserve">Выполнение работ по изготовлению и монтажу металлоконструкции "Кормушка для котов" на Курортном проспекте г.Зеленоградска </t>
  </si>
  <si>
    <t xml:space="preserve">Оказание услуг по изготовлению и установке деревянных вазонов для нужд муниципального образования </t>
  </si>
  <si>
    <t xml:space="preserve">Выполнение работ по устройству сетей водоотведения в пос.Холмогоровка Зеленоградского района </t>
  </si>
  <si>
    <t>Выполнение работ по устройству ливневого коллектора диаметром 500 мм. без устройства благоустройства в пос.Сосновка Зеленоградского района</t>
  </si>
  <si>
    <t>Выполнение работ по ремонту наружных сетей водопровода по ул.Балтийской в пос.Поваровка Зеленоградского района Калининградской области (2-й этап)</t>
  </si>
  <si>
    <t xml:space="preserve">Выполнение работ по ремонту наружных сетей водопровода в пос.Краснофлотское Зеленоградского района </t>
  </si>
  <si>
    <t xml:space="preserve">Выполнение работ по строительству водопроводной сети в пос.Александровка Зеленоградского района </t>
  </si>
  <si>
    <t>Выполнение работ по строительству водопроводной сети в пос.Киевское Зеленоградского района Калининградской области от водонапорной башни до жилого дома</t>
  </si>
  <si>
    <t>Корректировка, согласование, проверка сметной документации</t>
  </si>
  <si>
    <t>ИТОГО ПО ВСЕМ ОБЪЕКТАМ</t>
  </si>
  <si>
    <t>Выполнение работ по устройству покрытия пешеходных дорожек на территории стадиона в г,Зеленоградске</t>
  </si>
  <si>
    <t>Выполнение работ по устройству покрытия пешеходных дорожек с территории стадиона в г,Зеленоградске</t>
  </si>
  <si>
    <t>Выполнение работ по устройству беговой дорожки в г.Зеленоградск (СТАДИОН)</t>
  </si>
  <si>
    <t>Оказание услуг по разработке проекта "Капитального ремонта ул.Ленина в г.Зеленоградске и проекта "Реконструкция центральной городской и привокзальной площадей в г.Зеленоградске"</t>
  </si>
  <si>
    <t xml:space="preserve">На оказание услуг по разработке проектов зон охраны объектов культурного наследия местного значения </t>
  </si>
  <si>
    <t>Распорядитель бюджетных средств-МКУ "Плантаже"</t>
  </si>
  <si>
    <t>Выполнение работ по ремонту памятников войнам, погибшим в годы Великой Отечественной войны 1941-1945 гг.</t>
  </si>
  <si>
    <t>Выполнение работ по ремонту мемориала войнам погибшим в годы ВОВ в пос. Русское</t>
  </si>
  <si>
    <t xml:space="preserve">Ремонт теплотрассы в непроходных корабах п. Кострово </t>
  </si>
  <si>
    <t>Итого по объектам 2017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</si>
  <si>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</si>
  <si>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</si>
  <si>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</si>
  <si>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</si>
  <si>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</si>
  <si>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</si>
  <si>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</si>
  <si>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</si>
  <si>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</si>
  <si>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</si>
  <si>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</si>
  <si>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</si>
  <si>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</si>
  <si>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</si>
  <si>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</si>
  <si>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</si>
  <si>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</si>
  <si>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</si>
  <si>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</si>
  <si>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</si>
  <si>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</si>
  <si>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</si>
  <si>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</si>
  <si>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</si>
  <si>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</si>
  <si>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</si>
  <si>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</si>
  <si>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4.1.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</si>
  <si>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</si>
  <si>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</si>
  <si>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</si>
  <si>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</si>
  <si>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</si>
  <si>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</si>
  <si>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</si>
  <si>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</si>
  <si>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</si>
  <si>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</si>
  <si>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</si>
  <si>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</si>
  <si>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</si>
  <si>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</si>
  <si>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</si>
  <si>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</si>
  <si>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</si>
  <si>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</si>
  <si>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</si>
  <si>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</si>
  <si>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</si>
  <si>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</si>
  <si>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</si>
  <si>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</si>
  <si>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</si>
  <si>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</si>
  <si>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</si>
  <si>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</si>
  <si>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</si>
  <si>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</si>
  <si>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</si>
  <si>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</si>
  <si>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</si>
  <si>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</si>
  <si>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</si>
  <si>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</si>
  <si>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</si>
  <si>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</si>
  <si>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</si>
  <si>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</si>
  <si>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</si>
  <si>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</si>
  <si>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</si>
  <si>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</si>
  <si>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7.23.</t>
  </si>
  <si>
    <t>8.1.</t>
  </si>
  <si>
    <t>8.2.</t>
  </si>
  <si>
    <t>8.3.</t>
  </si>
  <si>
    <t>8.4.</t>
  </si>
  <si>
    <t>8.5.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</si>
  <si>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</si>
  <si>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</si>
  <si>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</si>
  <si>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</si>
  <si>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</si>
  <si>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</si>
  <si>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</si>
  <si>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</si>
  <si>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</si>
  <si>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</si>
  <si>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</si>
  <si>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</si>
  <si>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</si>
  <si>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</si>
  <si>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</si>
  <si>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</si>
  <si>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</si>
  <si>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</si>
  <si>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</si>
  <si>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</si>
  <si>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</si>
  <si>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</si>
  <si>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</si>
  <si>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</si>
  <si>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</si>
  <si>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12.Ремонт учреждений культуры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</si>
  <si>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</si>
  <si>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</si>
  <si>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</si>
  <si>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</si>
  <si>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</si>
  <si>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</si>
  <si>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</si>
  <si>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</si>
  <si>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</si>
  <si>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13. Газификация</t>
  </si>
  <si>
    <t>13.1.</t>
  </si>
  <si>
    <t>13.2.</t>
  </si>
  <si>
    <t>13.3.</t>
  </si>
  <si>
    <t>14.Прочие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</si>
  <si>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</si>
  <si>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</si>
  <si>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</si>
  <si>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</si>
  <si>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</si>
  <si>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</si>
  <si>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</si>
  <si>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</si>
  <si>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</si>
  <si>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</si>
  <si>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14.12.</t>
  </si>
  <si>
    <t>14.11.</t>
  </si>
  <si>
    <t>14.13.</t>
  </si>
  <si>
    <t>14.14.</t>
  </si>
  <si>
    <t>14.15.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</si>
  <si>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</si>
  <si>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</si>
  <si>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</si>
  <si>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</si>
  <si>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</si>
  <si>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</si>
  <si>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</si>
  <si>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</si>
  <si>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</si>
  <si>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</si>
  <si>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</si>
  <si>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</si>
  <si>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</si>
  <si>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</si>
  <si>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</si>
  <si>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</si>
  <si>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</si>
  <si>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</si>
  <si>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</si>
  <si>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</si>
  <si>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</si>
  <si>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</si>
  <si>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</si>
  <si>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</si>
  <si>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</si>
  <si>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</si>
  <si>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</si>
  <si>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</si>
  <si>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</si>
  <si>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</si>
  <si>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</si>
  <si>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</si>
  <si>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</si>
  <si>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</si>
  <si>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</si>
  <si>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</si>
  <si>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</si>
  <si>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</si>
  <si>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</si>
  <si>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14.63</t>
  </si>
  <si>
    <t>14.64</t>
  </si>
  <si>
    <t>14.65</t>
  </si>
  <si>
    <t>14.67</t>
  </si>
  <si>
    <t>14.69</t>
  </si>
  <si>
    <t>14.70</t>
  </si>
  <si>
    <t>15.Подготовка к курортному сезону</t>
  </si>
  <si>
    <t>15.1.</t>
  </si>
  <si>
    <t>15.2.</t>
  </si>
  <si>
    <t>15.3.</t>
  </si>
  <si>
    <t>15.4.</t>
  </si>
  <si>
    <t>Распорядитель бюджетных средств-МКУ "Служба заказчика"</t>
  </si>
  <si>
    <t>16.1.</t>
  </si>
  <si>
    <t>Выполнение работ по ремонту дорожного покрытия на ул.Победы в пос.Рыбачий Зеленоградского района</t>
  </si>
  <si>
    <t xml:space="preserve">Выполнение работ по ремонту дорожного покрытия на ул.Первомайской в пос.Рыбачий Зеленоградского района </t>
  </si>
  <si>
    <t xml:space="preserve">Выполнение работ по ремонту дорожного покрытия на ул.Зелёной в пос.Куликово Зеленоградского района </t>
  </si>
  <si>
    <t>Выполнение работ по ремонту дорожного покрытия на ул.Енисейской в пос.Мельниково Зеленоградского района</t>
  </si>
  <si>
    <t xml:space="preserve">Выполнение работ по ремонту дорожного покрытия на ул.Полевой в пос.Мельниково Зеленоградского района </t>
  </si>
  <si>
    <t xml:space="preserve">Выполнение работ по ремонту дорожного покрытия на ул.Центральной в пос.Муромское Зеленоградского района </t>
  </si>
  <si>
    <t xml:space="preserve">Выполнение работ по ремонту дорожного покрытия на автомобильной дороги пос.Янтаровка - пос.Прислово Зеленоградского района </t>
  </si>
  <si>
    <t xml:space="preserve">Выполнение работ по ремонту дорожного покрытия на ул.Молодёжной в пос.Кумачево Зеленоградского района </t>
  </si>
  <si>
    <t xml:space="preserve">Выполнение работ по восстановительному ремонту тротуаров в г.Зеленоградске </t>
  </si>
  <si>
    <t xml:space="preserve">Выполнение электромонтажных работ по устройству подсветки фасадов зданий по Курортному проспекту №№ 7, 8, 20, 25, 27 в г.Зеленоградске </t>
  </si>
  <si>
    <t>Итого по ремонту школ и детских садов</t>
  </si>
  <si>
    <t xml:space="preserve">11.Ремонт административных зданий </t>
  </si>
  <si>
    <t>Итого по ремонту административных зданий</t>
  </si>
  <si>
    <t>Итого по ремонту учреждений культуры</t>
  </si>
  <si>
    <t>12.10.</t>
  </si>
  <si>
    <t xml:space="preserve">Поставка контейнеров для сбора ТБО для нужд муниципального образования </t>
  </si>
  <si>
    <t>Поставка автомобиля мусоровоза для нужд муниципального образования "Зеленоградский городской округ"</t>
  </si>
  <si>
    <t>Поставка экскаватора-автопогрузчика для нужд муниципального образования "Зеленоградский городской округ"</t>
  </si>
  <si>
    <t>Итого по прочим объектам</t>
  </si>
  <si>
    <t>Выполнение работ по ремонту помещений в административном здании по адресу: г.Зеленоградск, ул.Ленина, 20</t>
  </si>
  <si>
    <t>Выполнение работ по ремонту кровли, фронтона, фасада жилого дома по адресу: Зеленоградский район, пос.Калиново</t>
  </si>
  <si>
    <t xml:space="preserve">Выполнение работ по ремонту фасада административного здания по адресу: , г.Зеленоградск, Курортный проспект, 28 
</t>
  </si>
  <si>
    <t xml:space="preserve">Выполнение работ по ремонту помещения в административном здании по адресу:  Зеленоградский район, пос.Поваровка, ул.Балтийская, 15 
</t>
  </si>
  <si>
    <t>Исполнение</t>
  </si>
  <si>
    <t>Выполнение работ по устроиству газопроводов-вводов по 2-му Саратовскому переулку д.4,6 в г.Зеленоградске</t>
  </si>
  <si>
    <t>Благоустройство дворовой территории дома №1 на ул.Крылова в г.Зеленоградске; Благоустройство дворовой территории  д.№ 1-а на ул.Крылова в г.Зеленоградске</t>
  </si>
  <si>
    <t>Ремонт катушек (прямой договор)</t>
  </si>
  <si>
    <t>14.72</t>
  </si>
  <si>
    <t>14.73</t>
  </si>
  <si>
    <t>14.74</t>
  </si>
  <si>
    <t>14.19</t>
  </si>
  <si>
    <t xml:space="preserve">Выполнение работ по осушению городского парка </t>
  </si>
  <si>
    <t xml:space="preserve">Выполнение работ по ямочному ремонту улиц: пер. Октябрьский, ул. М. Расковой, ул. Толстого, ул. Московской, ул. Володарского, Курортный проспект, ул. Крылова г. Зеленоградска </t>
  </si>
  <si>
    <t>Выполнение работ по устройству тротуара у ФОКа в г.Зеленоградске</t>
  </si>
  <si>
    <t>№ в реестре Котельникова</t>
  </si>
  <si>
    <t>отд</t>
  </si>
  <si>
    <t>Ремонт кровли ДК п.Лесной (прямой договор)</t>
  </si>
  <si>
    <t>Государственная экспертиза по объекту :"Реконструкция очистных  сооружений  в пос. Рыбачий "(прямой договор)</t>
  </si>
  <si>
    <t>Оплата за тех.присоединение к электросетя по объекту "Подсветка пешеходных переходов  по ул. Железнодорожная  в районе д.38-38Б" (прямой договор)</t>
  </si>
  <si>
    <t>Выполнение работ по изготовлению и установке скамеек из лиственницы окрашенной  в г.Зеленоградске (прямой договор)</t>
  </si>
  <si>
    <t>Устройство  покрытия из тротуарной плитки на территории прогимназии "Вектор"</t>
  </si>
  <si>
    <t>Электромонтажные работы  по востановлению уличного освещения в г. Зеленоградске (2017)</t>
  </si>
  <si>
    <t xml:space="preserve">Выполнение работ по замене теплотрассы в п.Кострово </t>
  </si>
  <si>
    <t>Выполнение работ по устройству общественного туалета по адресу г.Зеленоградск ул.Пугачева</t>
  </si>
  <si>
    <t xml:space="preserve">Выполнение электромонтажных работ по устройству системы электроснабжения бытовой канализации в пос.Холмогоровка </t>
  </si>
  <si>
    <t xml:space="preserve">Выполнение работ по нанесению дорожной разметки в г.Зеленоградске </t>
  </si>
  <si>
    <t>14.22</t>
  </si>
  <si>
    <t xml:space="preserve">Выполнение работ по покраске памятника погибшим войнам на ул.Московской в г.Зеленоградске </t>
  </si>
  <si>
    <t>Выполнение электромонтажных работ по устройству уличного освещения на ул. Звездной ( 2-я часть)в г. Зеленоградске</t>
  </si>
  <si>
    <t xml:space="preserve">Оказание услуг (работ) по врезке газопровода на объекте" Межпоселковый газопровод высокого давления от г. Калининграда к поселкам Переславское, Кумачево, Зеленый Гай Зеленоградского района - 1 этап" и корректировке рабочей документации
</t>
  </si>
  <si>
    <t>Выполнение работ по устройству тротуара в пос.Поваровка Зеленоградского района</t>
  </si>
  <si>
    <t xml:space="preserve">Выполнение  работ по ремонту асфальтного покрытия подъездной дороги к ЗЦРБ
</t>
  </si>
  <si>
    <t>Разрешение технического решения на канализацию в п.Холмогоровка</t>
  </si>
  <si>
    <t>Оказание услуг по проведению государственной экспертизы проектной документации и результатов инженерных изысканий по объекту "Строительство культурно досугового центра в п.Краснофлотское "</t>
  </si>
  <si>
    <t>Выполнение работ по ремонту сетей водопровода в п.Кузнецкое</t>
  </si>
  <si>
    <t>17.1.</t>
  </si>
  <si>
    <t>18.1.</t>
  </si>
  <si>
    <t>18.2.</t>
  </si>
  <si>
    <t>18.3.</t>
  </si>
  <si>
    <t>Итого по МКУ "Служба заказчика"</t>
  </si>
  <si>
    <t>Итого по МКУ "Плантаже"</t>
  </si>
  <si>
    <t>Итого по подготовке к курортному сезону</t>
  </si>
  <si>
    <t>Итого по ПКО № 606</t>
  </si>
  <si>
    <t>Итого по ПКО № 100</t>
  </si>
  <si>
    <t xml:space="preserve">19.Объекты 2017 года </t>
  </si>
  <si>
    <t>Итого по строительству уличного освещения</t>
  </si>
  <si>
    <t>11.1.</t>
  </si>
  <si>
    <t>14.17</t>
  </si>
  <si>
    <t>14.18</t>
  </si>
  <si>
    <t>14.23</t>
  </si>
  <si>
    <t>14.66</t>
  </si>
  <si>
    <t>14.68</t>
  </si>
  <si>
    <t>14.71</t>
  </si>
  <si>
    <t>16.2.</t>
  </si>
  <si>
    <t>Итого по созданию условий рекреации</t>
  </si>
  <si>
    <t>17. Постановление Правительства КО от 22.02.2018 № 100 "О выделении денежных средств"</t>
  </si>
  <si>
    <t>18. Постановление Правительства КО от 09.10.2018 № 606  "О выделении денежных средств"</t>
  </si>
  <si>
    <t>19.1.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</si>
  <si>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</si>
  <si>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</si>
  <si>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</si>
  <si>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</si>
  <si>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</si>
  <si>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</si>
  <si>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</si>
  <si>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</si>
  <si>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19.10.</t>
  </si>
  <si>
    <t>19.11.</t>
  </si>
  <si>
    <t>19.13.</t>
  </si>
  <si>
    <t>19.14.</t>
  </si>
  <si>
    <t>19.15.</t>
  </si>
  <si>
    <t>19.16.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</si>
  <si>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</si>
  <si>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</si>
  <si>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</si>
  <si>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</si>
  <si>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</si>
  <si>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</si>
  <si>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</si>
  <si>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</si>
  <si>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</si>
  <si>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</si>
  <si>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 xml:space="preserve">Выполнение работ по устройству тротуара в районе пешеходного перехода в пос.Рыбачий Зеленоградского района </t>
  </si>
  <si>
    <t>ИТОГО (без ДорФонда)</t>
  </si>
  <si>
    <t>Выполнение работ по проектированию, инженерно геологическим изысканиям  по объекту : "Строительство культурно досугового центра в п.Краснофлотское "</t>
  </si>
  <si>
    <t>16. Постановление Правительства КО от 19.04.2018 № 204 " О распределении субсидий муниципальным образованиям по итогам ежегодного конкурса "Создание условий для рекреации, обустройство мест массового отдыха для жителей МО Калининградской области"</t>
  </si>
  <si>
    <t>Итого по ремонту тротуаров</t>
  </si>
  <si>
    <t>19.12.</t>
  </si>
  <si>
    <t>19.17</t>
  </si>
  <si>
    <t>Программа ремонта автомобильных дорог муниципального значения в сельских населенных пунктах</t>
  </si>
  <si>
    <t>ИТОГО по  программе ремонта дорог в сельских населенных пунктах</t>
  </si>
  <si>
    <t>Поставка столбов парковочных оградительных для нужд МО "Зеленоградский городской округ"</t>
  </si>
  <si>
    <t>14.75</t>
  </si>
  <si>
    <t>14.76</t>
  </si>
  <si>
    <t>Выполнение электромонтажных работ по устройству наружного освещения детской площадки на ул.Московской в г.Зеленоградске</t>
  </si>
  <si>
    <t>14.77</t>
  </si>
  <si>
    <t xml:space="preserve">Выполнение электромонтажных работ по монтажу зарядных устройств на остановках общественного транспорта в г.Зеленоградске </t>
  </si>
  <si>
    <t>Выполнение электромонтажных работ по установке электрических щитов для музыкантов в г.Зеленоградске</t>
  </si>
  <si>
    <t>14.78</t>
  </si>
  <si>
    <t>Выполнение работ по устройству игровой площадки на территории жилых домов по адресу: г.Зеленоградск ул.Крылова , д.1, д.1а</t>
  </si>
  <si>
    <t>Выполнение работ по устройству хозяйственно- питьевого водопровода диаметром 63 мм. В пос.Холмы</t>
  </si>
  <si>
    <t>16.3.</t>
  </si>
  <si>
    <t>14.16</t>
  </si>
  <si>
    <t>14.20.</t>
  </si>
  <si>
    <t>14.21</t>
  </si>
  <si>
    <t>14.79</t>
  </si>
  <si>
    <t>Поставка скамеек парковых для нужд МО "Зеленоградский городской округ"</t>
  </si>
  <si>
    <t>14.80</t>
  </si>
  <si>
    <t>14.81</t>
  </si>
  <si>
    <t>14.82</t>
  </si>
  <si>
    <t xml:space="preserve">ИТОГО по администрации МО </t>
  </si>
  <si>
    <t xml:space="preserve">Выполнение работ  по разработке концепции развития  привокзальной площади г.Зеленоградска </t>
  </si>
  <si>
    <t xml:space="preserve">Выполнение работ по разработке концепции развития  центральной городской площади г.Зеленоградска </t>
  </si>
  <si>
    <t xml:space="preserve">Установка забора  из  металлопрофиля на променаде в г. Зеленоградске </t>
  </si>
  <si>
    <t xml:space="preserve">Ремонт кабинета ТИК </t>
  </si>
  <si>
    <t xml:space="preserve">Поставка вазонов деревянных  из лиственницы </t>
  </si>
  <si>
    <t xml:space="preserve">Поставка блока управлениями боллордами </t>
  </si>
  <si>
    <t xml:space="preserve">Выполнение работ по ремонту кровли квартиры №3 дома №2 по ул. Лесной в п. Красноторовка </t>
  </si>
  <si>
    <t xml:space="preserve">Приобретение диванов металлических </t>
  </si>
  <si>
    <t>Выполнение работ по проведению мероприятий в части благоустройства Зеленоградского гороского округа</t>
  </si>
  <si>
    <t xml:space="preserve">        от " 25  " декабря   2018 г.  №  2932</t>
  </si>
</sst>
</file>

<file path=xl/styles.xml><?xml version="1.0" encoding="utf-8"?>
<styleSheet xmlns="http://schemas.openxmlformats.org/spreadsheetml/2006/main">
  <numFmts count="1">
    <numFmt numFmtId="167" formatCode="0.00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5" tint="-0.249977111117893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2" fontId="0" fillId="0" borderId="1" xfId="0" applyNumberFormat="1" applyBorder="1"/>
    <xf numFmtId="2" fontId="1" fillId="0" borderId="1" xfId="0" applyNumberFormat="1" applyFont="1" applyBorder="1"/>
    <xf numFmtId="16" fontId="0" fillId="0" borderId="1" xfId="0" applyNumberFormat="1" applyBorder="1"/>
    <xf numFmtId="4" fontId="0" fillId="0" borderId="1" xfId="0" applyNumberFormat="1" applyBorder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1" xfId="0" applyNumberFormat="1" applyFont="1" applyBorder="1" applyAlignment="1">
      <alignment wrapText="1"/>
    </xf>
    <xf numFmtId="0" fontId="5" fillId="3" borderId="1" xfId="0" applyFont="1" applyFill="1" applyBorder="1" applyAlignment="1" applyProtection="1">
      <alignment wrapText="1"/>
      <protection locked="0"/>
    </xf>
    <xf numFmtId="4" fontId="5" fillId="3" borderId="1" xfId="0" applyNumberFormat="1" applyFont="1" applyFill="1" applyBorder="1" applyAlignment="1" applyProtection="1">
      <alignment wrapText="1"/>
      <protection locked="0"/>
    </xf>
    <xf numFmtId="0" fontId="8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wrapText="1"/>
    </xf>
    <xf numFmtId="2" fontId="0" fillId="2" borderId="1" xfId="0" applyNumberFormat="1" applyFill="1" applyBorder="1"/>
    <xf numFmtId="49" fontId="0" fillId="0" borderId="1" xfId="0" applyNumberFormat="1" applyBorder="1" applyAlignment="1">
      <alignment horizontal="right"/>
    </xf>
    <xf numFmtId="0" fontId="6" fillId="0" borderId="1" xfId="0" applyFont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3" fillId="0" borderId="1" xfId="0" applyFont="1" applyBorder="1" applyAlignment="1" applyProtection="1">
      <alignment horizontal="right" wrapText="1"/>
      <protection locked="0"/>
    </xf>
    <xf numFmtId="0" fontId="3" fillId="0" borderId="1" xfId="0" applyNumberFormat="1" applyFont="1" applyBorder="1" applyAlignment="1" applyProtection="1">
      <alignment horizontal="right" wrapText="1"/>
      <protection locked="0"/>
    </xf>
    <xf numFmtId="16" fontId="3" fillId="0" borderId="1" xfId="0" applyNumberFormat="1" applyFont="1" applyBorder="1" applyAlignment="1" applyProtection="1">
      <alignment horizontal="right" wrapText="1"/>
      <protection locked="0"/>
    </xf>
    <xf numFmtId="16" fontId="0" fillId="0" borderId="1" xfId="0" applyNumberFormat="1" applyBorder="1" applyAlignment="1">
      <alignment horizontal="right"/>
    </xf>
    <xf numFmtId="0" fontId="0" fillId="0" borderId="1" xfId="0" applyBorder="1" applyProtection="1">
      <protection locked="0"/>
    </xf>
    <xf numFmtId="4" fontId="5" fillId="3" borderId="4" xfId="0" applyNumberFormat="1" applyFont="1" applyFill="1" applyBorder="1" applyAlignment="1" applyProtection="1">
      <alignment wrapText="1"/>
      <protection locked="0"/>
    </xf>
    <xf numFmtId="2" fontId="5" fillId="3" borderId="4" xfId="0" applyNumberFormat="1" applyFont="1" applyFill="1" applyBorder="1" applyAlignment="1" applyProtection="1">
      <alignment wrapText="1"/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4" fontId="1" fillId="0" borderId="1" xfId="0" applyNumberFormat="1" applyFont="1" applyBorder="1"/>
    <xf numFmtId="0" fontId="1" fillId="0" borderId="1" xfId="0" applyFont="1" applyBorder="1" applyProtection="1">
      <protection locked="0"/>
    </xf>
    <xf numFmtId="4" fontId="0" fillId="0" borderId="4" xfId="0" applyNumberFormat="1" applyBorder="1"/>
    <xf numFmtId="2" fontId="0" fillId="0" borderId="4" xfId="0" applyNumberFormat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NumberFormat="1" applyFont="1" applyBorder="1" applyAlignment="1">
      <alignment horizontal="left" vertical="top" wrapText="1"/>
    </xf>
    <xf numFmtId="4" fontId="5" fillId="2" borderId="4" xfId="0" applyNumberFormat="1" applyFont="1" applyFill="1" applyBorder="1" applyAlignment="1" applyProtection="1">
      <alignment wrapText="1"/>
      <protection locked="0"/>
    </xf>
    <xf numFmtId="4" fontId="5" fillId="2" borderId="1" xfId="0" applyNumberFormat="1" applyFont="1" applyFill="1" applyBorder="1" applyAlignment="1" applyProtection="1">
      <alignment wrapText="1"/>
      <protection locked="0"/>
    </xf>
    <xf numFmtId="0" fontId="0" fillId="0" borderId="6" xfId="0" applyBorder="1" applyAlignment="1">
      <alignment wrapText="1"/>
    </xf>
    <xf numFmtId="167" fontId="0" fillId="0" borderId="4" xfId="0" applyNumberFormat="1" applyBorder="1"/>
    <xf numFmtId="0" fontId="6" fillId="0" borderId="5" xfId="0" applyFont="1" applyBorder="1" applyAlignment="1" applyProtection="1">
      <alignment horizontal="center"/>
      <protection locked="0"/>
    </xf>
    <xf numFmtId="4" fontId="12" fillId="0" borderId="1" xfId="0" applyNumberFormat="1" applyFont="1" applyBorder="1" applyAlignment="1" applyProtection="1">
      <alignment wrapText="1"/>
      <protection locked="0"/>
    </xf>
    <xf numFmtId="4" fontId="0" fillId="0" borderId="1" xfId="0" applyNumberFormat="1" applyBorder="1" applyProtection="1">
      <protection locked="0"/>
    </xf>
    <xf numFmtId="2" fontId="2" fillId="0" borderId="1" xfId="0" applyNumberFormat="1" applyFont="1" applyBorder="1"/>
    <xf numFmtId="4" fontId="0" fillId="2" borderId="1" xfId="0" applyNumberFormat="1" applyFill="1" applyBorder="1"/>
    <xf numFmtId="0" fontId="13" fillId="0" borderId="1" xfId="0" applyNumberFormat="1" applyFont="1" applyBorder="1" applyAlignment="1">
      <alignment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5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right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3" fillId="0" borderId="0" xfId="0" applyFont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0" fillId="0" borderId="7" xfId="0" applyFont="1" applyBorder="1" applyAlignment="1" applyProtection="1">
      <alignment wrapText="1"/>
      <protection locked="0"/>
    </xf>
    <xf numFmtId="0" fontId="10" fillId="0" borderId="8" xfId="0" applyFont="1" applyBorder="1" applyAlignment="1" applyProtection="1">
      <alignment wrapText="1"/>
      <protection locked="0"/>
    </xf>
    <xf numFmtId="0" fontId="10" fillId="0" borderId="3" xfId="0" applyFont="1" applyBorder="1" applyAlignment="1" applyProtection="1">
      <alignment wrapText="1"/>
      <protection locked="0"/>
    </xf>
    <xf numFmtId="0" fontId="0" fillId="0" borderId="9" xfId="0" applyBorder="1" applyAlignment="1">
      <alignment textRotation="9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1" fillId="0" borderId="6" xfId="0" applyFont="1" applyBorder="1"/>
    <xf numFmtId="2" fontId="1" fillId="0" borderId="6" xfId="0" applyNumberFormat="1" applyFont="1" applyBorder="1"/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topLeftCell="B293" zoomScale="86" zoomScaleNormal="86" workbookViewId="0">
      <selection activeCell="D302" sqref="D302"/>
    </sheetView>
  </sheetViews>
  <sheetFormatPr defaultRowHeight="14.4"/>
  <cols>
    <col min="1" max="1" width="4.33203125" hidden="1" customWidth="1"/>
    <col min="2" max="2" width="6.6640625" customWidth="1"/>
    <col min="3" max="3" width="49.109375" customWidth="1"/>
    <col min="4" max="4" width="11.6640625" customWidth="1"/>
    <col min="5" max="5" width="11.77734375" customWidth="1"/>
    <col min="6" max="6" width="12.33203125" customWidth="1"/>
    <col min="7" max="7" width="10.33203125" customWidth="1"/>
    <col min="8" max="8" width="12.21875" customWidth="1"/>
    <col min="9" max="9" width="2.5546875" hidden="1" customWidth="1"/>
    <col min="10" max="10" width="5.21875" hidden="1" customWidth="1"/>
    <col min="11" max="11" width="1.77734375" hidden="1" customWidth="1"/>
    <col min="12" max="12" width="5.6640625" hidden="1" customWidth="1"/>
    <col min="13" max="13" width="2.6640625" hidden="1" customWidth="1"/>
  </cols>
  <sheetData>
    <row r="1" spans="1:13" ht="14.4" customHeight="1">
      <c r="B1" s="12"/>
      <c r="C1" s="13"/>
      <c r="D1" s="13"/>
      <c r="E1" s="82" t="s">
        <v>22</v>
      </c>
      <c r="F1" s="83"/>
      <c r="G1" s="83"/>
      <c r="H1" s="83"/>
      <c r="I1" s="13"/>
    </row>
    <row r="2" spans="1:13" ht="30" customHeight="1">
      <c r="B2" s="12"/>
      <c r="C2" s="13"/>
      <c r="D2" s="13"/>
      <c r="E2" s="83"/>
      <c r="F2" s="83"/>
      <c r="G2" s="83"/>
      <c r="H2" s="83"/>
      <c r="I2" s="13"/>
    </row>
    <row r="3" spans="1:13">
      <c r="B3" s="14"/>
      <c r="C3" s="15"/>
      <c r="D3" s="15"/>
      <c r="E3" s="84" t="s">
        <v>542</v>
      </c>
      <c r="F3" s="83"/>
      <c r="G3" s="83"/>
      <c r="H3" s="83"/>
      <c r="I3" s="13"/>
    </row>
    <row r="4" spans="1:13">
      <c r="B4" s="14"/>
      <c r="C4" s="15"/>
      <c r="D4" s="15"/>
      <c r="E4" s="15"/>
      <c r="F4" s="15"/>
      <c r="G4" s="16"/>
      <c r="H4" s="16"/>
      <c r="I4" s="13"/>
    </row>
    <row r="5" spans="1:13" ht="28.95" customHeight="1">
      <c r="B5" s="72" t="s">
        <v>23</v>
      </c>
      <c r="C5" s="72"/>
      <c r="D5" s="72"/>
      <c r="E5" s="72"/>
      <c r="F5" s="72"/>
      <c r="G5" s="72"/>
      <c r="H5" s="72"/>
      <c r="I5" s="21"/>
    </row>
    <row r="6" spans="1:13">
      <c r="B6" s="76" t="s">
        <v>31</v>
      </c>
      <c r="C6" s="77"/>
      <c r="D6" s="77"/>
      <c r="E6" s="77"/>
      <c r="F6" s="77"/>
      <c r="G6" s="77"/>
      <c r="H6" s="77"/>
      <c r="I6" s="13"/>
    </row>
    <row r="7" spans="1:13">
      <c r="B7" s="78" t="s">
        <v>30</v>
      </c>
      <c r="C7" s="78"/>
      <c r="D7" s="78"/>
      <c r="E7" s="78"/>
      <c r="F7" s="78"/>
      <c r="G7" s="78"/>
      <c r="H7" s="78"/>
      <c r="I7" s="13"/>
    </row>
    <row r="8" spans="1:13" ht="14.4" customHeight="1">
      <c r="A8" s="91" t="s">
        <v>436</v>
      </c>
      <c r="B8" s="79" t="s">
        <v>1</v>
      </c>
      <c r="C8" s="73" t="s">
        <v>19</v>
      </c>
      <c r="D8" s="73" t="s">
        <v>21</v>
      </c>
      <c r="E8" s="73" t="s">
        <v>26</v>
      </c>
      <c r="F8" s="73" t="s">
        <v>25</v>
      </c>
      <c r="G8" s="73" t="s">
        <v>20</v>
      </c>
      <c r="H8" s="73" t="s">
        <v>29</v>
      </c>
      <c r="I8" s="92" t="s">
        <v>425</v>
      </c>
      <c r="J8" s="93"/>
      <c r="K8" s="93"/>
      <c r="L8" s="93"/>
      <c r="M8" s="94"/>
    </row>
    <row r="9" spans="1:13" ht="14.4" customHeight="1">
      <c r="A9" s="91"/>
      <c r="B9" s="80"/>
      <c r="C9" s="74"/>
      <c r="D9" s="74"/>
      <c r="E9" s="74"/>
      <c r="F9" s="74"/>
      <c r="G9" s="74"/>
      <c r="H9" s="74"/>
      <c r="I9" s="88" t="s">
        <v>505</v>
      </c>
      <c r="J9" s="89" t="s">
        <v>26</v>
      </c>
      <c r="K9" s="89" t="s">
        <v>25</v>
      </c>
      <c r="L9" s="88" t="s">
        <v>20</v>
      </c>
      <c r="M9" s="88" t="s">
        <v>29</v>
      </c>
    </row>
    <row r="10" spans="1:13">
      <c r="A10" s="91"/>
      <c r="B10" s="80"/>
      <c r="C10" s="74"/>
      <c r="D10" s="74"/>
      <c r="E10" s="74"/>
      <c r="F10" s="74"/>
      <c r="G10" s="74"/>
      <c r="H10" s="74"/>
      <c r="I10" s="89"/>
      <c r="J10" s="89"/>
      <c r="K10" s="89"/>
      <c r="L10" s="89"/>
      <c r="M10" s="89"/>
    </row>
    <row r="11" spans="1:13">
      <c r="A11" s="91"/>
      <c r="B11" s="80"/>
      <c r="C11" s="74"/>
      <c r="D11" s="74"/>
      <c r="E11" s="74"/>
      <c r="F11" s="74"/>
      <c r="G11" s="74"/>
      <c r="H11" s="74"/>
      <c r="I11" s="89"/>
      <c r="J11" s="89"/>
      <c r="K11" s="89"/>
      <c r="L11" s="89"/>
      <c r="M11" s="89"/>
    </row>
    <row r="12" spans="1:13">
      <c r="A12" s="91"/>
      <c r="B12" s="81"/>
      <c r="C12" s="75"/>
      <c r="D12" s="75"/>
      <c r="E12" s="75"/>
      <c r="F12" s="75"/>
      <c r="G12" s="75"/>
      <c r="H12" s="75"/>
      <c r="I12" s="90"/>
      <c r="J12" s="90"/>
      <c r="K12" s="90"/>
      <c r="L12" s="90"/>
      <c r="M12" s="90"/>
    </row>
    <row r="13" spans="1:13">
      <c r="A13" s="91"/>
      <c r="B13" s="17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17">
        <v>9</v>
      </c>
      <c r="K13" s="17">
        <v>10</v>
      </c>
      <c r="L13" s="17">
        <v>11</v>
      </c>
      <c r="M13" s="17">
        <v>11</v>
      </c>
    </row>
    <row r="14" spans="1:13">
      <c r="A14" s="91"/>
      <c r="B14" s="18"/>
      <c r="C14" s="65" t="s">
        <v>24</v>
      </c>
      <c r="D14" s="66"/>
      <c r="E14" s="66"/>
      <c r="F14" s="66"/>
      <c r="G14" s="66"/>
      <c r="H14" s="67"/>
      <c r="I14" s="40"/>
      <c r="J14" s="1"/>
      <c r="K14" s="1"/>
      <c r="L14" s="1"/>
      <c r="M14" s="1"/>
    </row>
    <row r="15" spans="1:13">
      <c r="B15" s="66" t="s">
        <v>27</v>
      </c>
      <c r="C15" s="71"/>
      <c r="D15" s="71"/>
      <c r="E15" s="71"/>
      <c r="F15" s="71"/>
      <c r="G15" s="71"/>
      <c r="H15" s="85"/>
      <c r="I15" s="40"/>
      <c r="J15" s="1"/>
      <c r="K15" s="1"/>
      <c r="L15" s="1"/>
      <c r="M15" s="1"/>
    </row>
    <row r="16" spans="1:13" ht="56.4" customHeight="1">
      <c r="B16" s="36" t="s">
        <v>4</v>
      </c>
      <c r="C16" s="19" t="s">
        <v>28</v>
      </c>
      <c r="D16" s="20">
        <f>SUM(E16:H16)</f>
        <v>1550.3200000000002</v>
      </c>
      <c r="E16" s="20">
        <v>1091.9000000000001</v>
      </c>
      <c r="F16" s="20">
        <v>458.42</v>
      </c>
      <c r="G16" s="20"/>
      <c r="H16" s="20"/>
      <c r="I16" s="45">
        <f>SUM(J16:L16)</f>
        <v>1532.7558900000001</v>
      </c>
      <c r="J16" s="8">
        <f>386.10607+705.79393</f>
        <v>1091.9000000000001</v>
      </c>
      <c r="K16" s="8">
        <f>115.33039+210.86961+114.65589</f>
        <v>440.85588999999999</v>
      </c>
      <c r="L16" s="6"/>
      <c r="M16" s="1"/>
    </row>
    <row r="17" spans="1:13" ht="18" customHeight="1">
      <c r="B17" s="23"/>
      <c r="C17" s="23" t="s">
        <v>37</v>
      </c>
      <c r="D17" s="24">
        <f>SUM(E17:H17)</f>
        <v>1550.3200000000002</v>
      </c>
      <c r="E17" s="24">
        <f t="shared" ref="E17:M17" si="0">SUM(E16)</f>
        <v>1091.9000000000001</v>
      </c>
      <c r="F17" s="24">
        <f t="shared" si="0"/>
        <v>458.42</v>
      </c>
      <c r="G17" s="24">
        <f t="shared" si="0"/>
        <v>0</v>
      </c>
      <c r="H17" s="41">
        <f t="shared" si="0"/>
        <v>0</v>
      </c>
      <c r="I17" s="41">
        <f t="shared" si="0"/>
        <v>1532.7558900000001</v>
      </c>
      <c r="J17" s="41">
        <f t="shared" si="0"/>
        <v>1091.9000000000001</v>
      </c>
      <c r="K17" s="41">
        <f t="shared" si="0"/>
        <v>440.85588999999999</v>
      </c>
      <c r="L17" s="41">
        <f t="shared" si="0"/>
        <v>0</v>
      </c>
      <c r="M17" s="41">
        <f t="shared" si="0"/>
        <v>0</v>
      </c>
    </row>
    <row r="18" spans="1:13">
      <c r="B18" s="66" t="s">
        <v>38</v>
      </c>
      <c r="C18" s="71"/>
      <c r="D18" s="71"/>
      <c r="E18" s="71"/>
      <c r="F18" s="71"/>
      <c r="G18" s="71"/>
      <c r="H18" s="85"/>
      <c r="I18" s="40"/>
      <c r="J18" s="1"/>
      <c r="K18" s="1"/>
      <c r="L18" s="6"/>
      <c r="M18" s="1"/>
    </row>
    <row r="19" spans="1:13" ht="46.2" customHeight="1">
      <c r="B19" s="37" t="s">
        <v>217</v>
      </c>
      <c r="C19" s="19" t="s">
        <v>32</v>
      </c>
      <c r="D19" s="20">
        <f>SUM(E19:H19)</f>
        <v>1583.6599999999999</v>
      </c>
      <c r="E19" s="20"/>
      <c r="F19" s="20">
        <v>1325.76</v>
      </c>
      <c r="G19" s="20">
        <v>257.89999999999998</v>
      </c>
      <c r="H19" s="20"/>
      <c r="I19" s="40"/>
      <c r="J19" s="1"/>
      <c r="K19" s="1"/>
      <c r="L19" s="6"/>
      <c r="M19" s="1"/>
    </row>
    <row r="20" spans="1:13" ht="75" customHeight="1">
      <c r="B20" s="38" t="s">
        <v>218</v>
      </c>
      <c r="C20" s="22" t="s">
        <v>34</v>
      </c>
      <c r="D20" s="20">
        <f t="shared" ref="D20:D24" si="1">SUM(E20:H20)</f>
        <v>3373.23</v>
      </c>
      <c r="E20" s="20"/>
      <c r="F20" s="20">
        <v>3204.57</v>
      </c>
      <c r="G20" s="20">
        <v>168.66</v>
      </c>
      <c r="H20" s="20"/>
      <c r="I20" s="40"/>
      <c r="J20" s="1"/>
      <c r="K20" s="1"/>
      <c r="L20" s="6"/>
      <c r="M20" s="1"/>
    </row>
    <row r="21" spans="1:13" ht="49.95" customHeight="1">
      <c r="B21" s="37" t="s">
        <v>219</v>
      </c>
      <c r="C21" s="19" t="s">
        <v>33</v>
      </c>
      <c r="D21" s="20">
        <f t="shared" si="1"/>
        <v>3292.8948700000001</v>
      </c>
      <c r="E21" s="20"/>
      <c r="F21" s="20">
        <v>1620.25</v>
      </c>
      <c r="G21" s="32">
        <f>1576.64487+96</f>
        <v>1672.6448700000001</v>
      </c>
      <c r="H21" s="20"/>
      <c r="I21" s="61">
        <f>SUM(J21:L21)</f>
        <v>2951.01485</v>
      </c>
      <c r="J21" s="1"/>
      <c r="K21" s="11">
        <v>1279.7536500000001</v>
      </c>
      <c r="L21" s="46">
        <f>1575.2612+96</f>
        <v>1671.2611999999999</v>
      </c>
      <c r="M21" s="1"/>
    </row>
    <row r="22" spans="1:13" ht="55.95" customHeight="1">
      <c r="B22" s="38" t="s">
        <v>220</v>
      </c>
      <c r="C22" s="22" t="s">
        <v>35</v>
      </c>
      <c r="D22" s="20">
        <f t="shared" si="1"/>
        <v>1361.93</v>
      </c>
      <c r="E22" s="20"/>
      <c r="F22" s="20">
        <v>1361.93</v>
      </c>
      <c r="G22" s="20"/>
      <c r="H22" s="20"/>
      <c r="I22" s="40"/>
      <c r="J22" s="1"/>
      <c r="K22" s="1"/>
      <c r="L22" s="6"/>
      <c r="M22" s="1"/>
    </row>
    <row r="23" spans="1:13" ht="24" customHeight="1">
      <c r="B23" s="23"/>
      <c r="C23" s="23" t="s">
        <v>36</v>
      </c>
      <c r="D23" s="24">
        <f>SUM(E23:H23)</f>
        <v>9611.7148699999998</v>
      </c>
      <c r="E23" s="24">
        <f t="shared" ref="E23:G23" si="2">SUM(E19:E22)</f>
        <v>0</v>
      </c>
      <c r="F23" s="24">
        <f t="shared" si="2"/>
        <v>7512.51</v>
      </c>
      <c r="G23" s="24">
        <f t="shared" si="2"/>
        <v>2099.20487</v>
      </c>
      <c r="H23" s="41">
        <f>SUM(H19:H22)</f>
        <v>0</v>
      </c>
      <c r="I23" s="41">
        <f t="shared" ref="I23:K23" si="3">SUM(I19:I22)</f>
        <v>2951.01485</v>
      </c>
      <c r="J23" s="41">
        <f t="shared" si="3"/>
        <v>0</v>
      </c>
      <c r="K23" s="41">
        <f t="shared" si="3"/>
        <v>1279.7536500000001</v>
      </c>
      <c r="L23" s="41">
        <f>SUM(L19:L22)</f>
        <v>1671.2611999999999</v>
      </c>
      <c r="M23" s="41">
        <f>SUM(M19:M22)</f>
        <v>0</v>
      </c>
    </row>
    <row r="24" spans="1:13" ht="18" customHeight="1">
      <c r="B24" s="66" t="s">
        <v>39</v>
      </c>
      <c r="C24" s="71"/>
      <c r="D24" s="71">
        <f t="shared" si="1"/>
        <v>0</v>
      </c>
      <c r="E24" s="71"/>
      <c r="F24" s="71"/>
      <c r="G24" s="71"/>
      <c r="H24" s="71"/>
      <c r="I24" s="40"/>
      <c r="J24" s="1"/>
      <c r="K24" s="1"/>
      <c r="L24" s="6"/>
      <c r="M24" s="1"/>
    </row>
    <row r="25" spans="1:13" ht="28.8" customHeight="1">
      <c r="B25" s="59"/>
      <c r="C25" s="86" t="s">
        <v>511</v>
      </c>
      <c r="D25" s="86"/>
      <c r="E25" s="86"/>
      <c r="F25" s="86"/>
      <c r="G25" s="86"/>
      <c r="H25" s="87"/>
      <c r="I25" s="40"/>
      <c r="J25" s="1"/>
      <c r="K25" s="1"/>
      <c r="L25" s="6"/>
      <c r="M25" s="1"/>
    </row>
    <row r="26" spans="1:13" ht="28.2">
      <c r="A26" s="50">
        <v>62</v>
      </c>
      <c r="B26" s="37" t="s">
        <v>221</v>
      </c>
      <c r="C26" s="22" t="s">
        <v>402</v>
      </c>
      <c r="D26" s="20">
        <f t="shared" ref="D26:D59" si="4">SUM(E26:H26)</f>
        <v>2115.1532999999999</v>
      </c>
      <c r="E26" s="20"/>
      <c r="F26" s="20"/>
      <c r="G26" s="20"/>
      <c r="H26" s="20">
        <f>2081.948+74.0273-40.822</f>
        <v>2115.1532999999999</v>
      </c>
      <c r="I26" s="1"/>
      <c r="J26" s="1"/>
      <c r="K26" s="1"/>
      <c r="L26" s="6"/>
      <c r="M26" s="11">
        <v>2115.1532999999999</v>
      </c>
    </row>
    <row r="27" spans="1:13" ht="42">
      <c r="A27" s="50">
        <v>82</v>
      </c>
      <c r="B27" s="37" t="s">
        <v>222</v>
      </c>
      <c r="C27" s="22" t="s">
        <v>403</v>
      </c>
      <c r="D27" s="20">
        <f t="shared" si="4"/>
        <v>2656.8359999999998</v>
      </c>
      <c r="E27" s="20"/>
      <c r="F27" s="20"/>
      <c r="G27" s="20"/>
      <c r="H27" s="20">
        <f>2415.377+241.459</f>
        <v>2656.8359999999998</v>
      </c>
      <c r="I27" s="1"/>
      <c r="J27" s="1"/>
      <c r="K27" s="1"/>
      <c r="L27" s="6"/>
      <c r="M27" s="11">
        <f>2000+415.377</f>
        <v>2415.377</v>
      </c>
    </row>
    <row r="28" spans="1:13" ht="42">
      <c r="A28" s="50">
        <v>96</v>
      </c>
      <c r="B28" s="37" t="s">
        <v>223</v>
      </c>
      <c r="C28" s="22" t="s">
        <v>404</v>
      </c>
      <c r="D28" s="20">
        <f t="shared" si="4"/>
        <v>2207.1919900000003</v>
      </c>
      <c r="E28" s="20"/>
      <c r="F28" s="20"/>
      <c r="G28" s="20"/>
      <c r="H28" s="20">
        <f>2006.546+200.64599</f>
        <v>2207.1919900000003</v>
      </c>
      <c r="I28" s="1"/>
      <c r="J28" s="1"/>
      <c r="K28" s="1"/>
      <c r="L28" s="6"/>
      <c r="M28" s="11">
        <v>2207.1919899999998</v>
      </c>
    </row>
    <row r="29" spans="1:13" ht="42">
      <c r="A29" s="50">
        <v>80</v>
      </c>
      <c r="B29" s="37" t="s">
        <v>224</v>
      </c>
      <c r="C29" s="22" t="s">
        <v>405</v>
      </c>
      <c r="D29" s="20">
        <f t="shared" si="4"/>
        <v>349.99979999999999</v>
      </c>
      <c r="E29" s="20"/>
      <c r="F29" s="20"/>
      <c r="G29" s="20"/>
      <c r="H29" s="20">
        <f>350-0.0002</f>
        <v>349.99979999999999</v>
      </c>
      <c r="I29" s="1"/>
      <c r="J29" s="1"/>
      <c r="K29" s="1"/>
      <c r="L29" s="6"/>
      <c r="M29" s="8">
        <v>349.99900000000002</v>
      </c>
    </row>
    <row r="30" spans="1:13" ht="42">
      <c r="A30" s="50">
        <v>81</v>
      </c>
      <c r="B30" s="37" t="s">
        <v>225</v>
      </c>
      <c r="C30" s="22" t="s">
        <v>406</v>
      </c>
      <c r="D30" s="20">
        <f t="shared" si="4"/>
        <v>1700.77154</v>
      </c>
      <c r="E30" s="20"/>
      <c r="F30" s="20"/>
      <c r="G30" s="20"/>
      <c r="H30" s="20">
        <f>1688.47122+12.30032</f>
        <v>1700.77154</v>
      </c>
      <c r="I30" s="1"/>
      <c r="J30" s="1"/>
      <c r="K30" s="1"/>
      <c r="L30" s="6"/>
      <c r="M30" s="11">
        <v>1700.77154</v>
      </c>
    </row>
    <row r="31" spans="1:13" ht="46.95" customHeight="1">
      <c r="A31" s="50">
        <v>56</v>
      </c>
      <c r="B31" s="37" t="s">
        <v>226</v>
      </c>
      <c r="C31" s="22" t="s">
        <v>407</v>
      </c>
      <c r="D31" s="20">
        <f t="shared" si="4"/>
        <v>343.13691999999998</v>
      </c>
      <c r="E31" s="20"/>
      <c r="F31" s="20"/>
      <c r="G31" s="20"/>
      <c r="H31" s="20">
        <f>350-6.86308</f>
        <v>343.13691999999998</v>
      </c>
      <c r="I31" s="1"/>
      <c r="J31" s="1"/>
      <c r="K31" s="1"/>
      <c r="L31" s="47"/>
      <c r="M31" s="47">
        <v>343.13691999999998</v>
      </c>
    </row>
    <row r="32" spans="1:13" ht="57.6" customHeight="1">
      <c r="A32" s="50">
        <v>68</v>
      </c>
      <c r="B32" s="37" t="s">
        <v>227</v>
      </c>
      <c r="C32" s="22" t="s">
        <v>408</v>
      </c>
      <c r="D32" s="20">
        <f t="shared" si="4"/>
        <v>254.80399999999997</v>
      </c>
      <c r="E32" s="20"/>
      <c r="F32" s="20"/>
      <c r="G32" s="20"/>
      <c r="H32" s="20">
        <f>259.9-5.096</f>
        <v>254.80399999999997</v>
      </c>
      <c r="I32" s="1"/>
      <c r="J32" s="1"/>
      <c r="K32" s="1"/>
      <c r="L32" s="6"/>
      <c r="M32" s="8">
        <v>254.804</v>
      </c>
    </row>
    <row r="33" spans="1:13" ht="45" customHeight="1">
      <c r="A33" s="50">
        <v>110</v>
      </c>
      <c r="B33" s="37" t="s">
        <v>228</v>
      </c>
      <c r="C33" s="22" t="s">
        <v>409</v>
      </c>
      <c r="D33" s="20">
        <f t="shared" si="4"/>
        <v>1179.3670000000002</v>
      </c>
      <c r="E33" s="20"/>
      <c r="F33" s="20"/>
      <c r="G33" s="20"/>
      <c r="H33" s="20">
        <f>1099.574+79.793</f>
        <v>1179.3670000000002</v>
      </c>
      <c r="I33" s="1"/>
      <c r="J33" s="1"/>
      <c r="K33" s="1"/>
      <c r="L33" s="6"/>
      <c r="M33" s="11">
        <v>1179.367</v>
      </c>
    </row>
    <row r="34" spans="1:13" ht="46.2" customHeight="1">
      <c r="A34" s="50">
        <v>76</v>
      </c>
      <c r="B34" s="37" t="s">
        <v>229</v>
      </c>
      <c r="C34" s="22" t="s">
        <v>40</v>
      </c>
      <c r="D34" s="20">
        <f>SUM(E34:H34)</f>
        <v>350.51427999999999</v>
      </c>
      <c r="E34" s="20"/>
      <c r="F34" s="20"/>
      <c r="G34" s="20"/>
      <c r="H34" s="20">
        <v>350.51427999999999</v>
      </c>
      <c r="I34" s="1"/>
      <c r="J34" s="1"/>
      <c r="K34" s="1"/>
      <c r="L34" s="6"/>
      <c r="M34" s="8">
        <v>350.51400000000001</v>
      </c>
    </row>
    <row r="35" spans="1:13" ht="43.2" customHeight="1">
      <c r="A35" s="50">
        <v>120</v>
      </c>
      <c r="B35" s="37" t="s">
        <v>230</v>
      </c>
      <c r="C35" s="22" t="s">
        <v>41</v>
      </c>
      <c r="D35" s="20">
        <f>SUM(E35:H35)</f>
        <v>549.654</v>
      </c>
      <c r="E35" s="20"/>
      <c r="F35" s="20"/>
      <c r="G35" s="20"/>
      <c r="H35" s="20">
        <f>499.686+49.968</f>
        <v>549.654</v>
      </c>
      <c r="I35" s="1"/>
      <c r="J35" s="1"/>
      <c r="K35" s="1"/>
      <c r="L35" s="6"/>
      <c r="M35" s="8">
        <v>549.654</v>
      </c>
    </row>
    <row r="36" spans="1:13" ht="34.200000000000003" customHeight="1">
      <c r="A36" s="50"/>
      <c r="B36" s="37"/>
      <c r="C36" s="64" t="s">
        <v>512</v>
      </c>
      <c r="D36" s="60">
        <f>SUM(D26:D35)</f>
        <v>11707.428830000001</v>
      </c>
      <c r="E36" s="60">
        <f t="shared" ref="E36:M36" si="5">SUM(E26:E35)</f>
        <v>0</v>
      </c>
      <c r="F36" s="60">
        <f t="shared" si="5"/>
        <v>0</v>
      </c>
      <c r="G36" s="60">
        <f t="shared" si="5"/>
        <v>0</v>
      </c>
      <c r="H36" s="60">
        <f t="shared" si="5"/>
        <v>11707.428830000001</v>
      </c>
      <c r="I36" s="60">
        <f t="shared" si="5"/>
        <v>0</v>
      </c>
      <c r="J36" s="60">
        <f t="shared" si="5"/>
        <v>0</v>
      </c>
      <c r="K36" s="60">
        <f t="shared" si="5"/>
        <v>0</v>
      </c>
      <c r="L36" s="60">
        <f t="shared" si="5"/>
        <v>0</v>
      </c>
      <c r="M36" s="60">
        <f t="shared" si="5"/>
        <v>11465.96875</v>
      </c>
    </row>
    <row r="37" spans="1:13" ht="106.2" customHeight="1">
      <c r="A37" s="50"/>
      <c r="B37" s="37" t="s">
        <v>231</v>
      </c>
      <c r="C37" s="22" t="s">
        <v>47</v>
      </c>
      <c r="D37" s="20">
        <f t="shared" ref="D37" si="6">SUM(E37:H37)</f>
        <v>1492.5699200000001</v>
      </c>
      <c r="E37" s="20"/>
      <c r="F37" s="20"/>
      <c r="G37" s="20"/>
      <c r="H37" s="20">
        <f>999.951+72.20892+420.41</f>
        <v>1492.5699200000001</v>
      </c>
      <c r="I37" s="2"/>
      <c r="J37" s="1"/>
      <c r="K37" s="1"/>
      <c r="L37" s="6"/>
      <c r="M37" s="11">
        <v>1072.1586199999999</v>
      </c>
    </row>
    <row r="38" spans="1:13" ht="28.2">
      <c r="A38" s="50">
        <v>19</v>
      </c>
      <c r="B38" s="37" t="s">
        <v>232</v>
      </c>
      <c r="C38" s="22" t="s">
        <v>42</v>
      </c>
      <c r="D38" s="20">
        <f t="shared" si="4"/>
        <v>5733.9959600000002</v>
      </c>
      <c r="E38" s="20"/>
      <c r="F38" s="20"/>
      <c r="G38" s="20">
        <v>5733.9959600000002</v>
      </c>
      <c r="H38" s="20"/>
      <c r="I38" s="9">
        <f>SUM(J38:L38)</f>
        <v>5636.27</v>
      </c>
      <c r="J38" s="1"/>
      <c r="K38" s="1"/>
      <c r="L38" s="6">
        <v>5636.27</v>
      </c>
      <c r="M38" s="1"/>
    </row>
    <row r="39" spans="1:13" ht="28.2">
      <c r="A39" s="50">
        <v>20</v>
      </c>
      <c r="B39" s="37" t="s">
        <v>233</v>
      </c>
      <c r="C39" s="22" t="s">
        <v>43</v>
      </c>
      <c r="D39" s="20">
        <f t="shared" si="4"/>
        <v>319.00318000000004</v>
      </c>
      <c r="E39" s="20"/>
      <c r="F39" s="20"/>
      <c r="G39" s="20">
        <f>290+29-9.09682+9.1</f>
        <v>319.00318000000004</v>
      </c>
      <c r="H39" s="20"/>
      <c r="I39" s="9">
        <f>SUM(J39:L39)</f>
        <v>309.90318000000002</v>
      </c>
      <c r="J39" s="1"/>
      <c r="K39" s="1"/>
      <c r="L39" s="46">
        <v>309.90318000000002</v>
      </c>
      <c r="M39" s="1"/>
    </row>
    <row r="40" spans="1:13" ht="28.2">
      <c r="A40" s="50">
        <v>21</v>
      </c>
      <c r="B40" s="37" t="s">
        <v>234</v>
      </c>
      <c r="C40" s="22" t="s">
        <v>44</v>
      </c>
      <c r="D40" s="20">
        <f t="shared" si="4"/>
        <v>7345.7359999999999</v>
      </c>
      <c r="E40" s="20"/>
      <c r="F40" s="20"/>
      <c r="G40" s="20">
        <v>7345.7359999999999</v>
      </c>
      <c r="H40" s="20"/>
      <c r="I40" s="9">
        <f>SUM(J40:L40)</f>
        <v>0</v>
      </c>
      <c r="J40" s="1"/>
      <c r="K40" s="1"/>
      <c r="L40" s="6"/>
      <c r="M40" s="1"/>
    </row>
    <row r="41" spans="1:13" ht="28.2">
      <c r="A41" s="50">
        <v>22</v>
      </c>
      <c r="B41" s="37" t="s">
        <v>235</v>
      </c>
      <c r="C41" s="22" t="s">
        <v>45</v>
      </c>
      <c r="D41" s="20">
        <f t="shared" si="4"/>
        <v>1035.75524</v>
      </c>
      <c r="E41" s="20"/>
      <c r="F41" s="20"/>
      <c r="G41" s="20">
        <f>1072.9558-37.1918-4.14876+4.14</f>
        <v>1035.75524</v>
      </c>
      <c r="H41" s="20"/>
      <c r="I41" s="9">
        <f>SUM(J41:L41)</f>
        <v>1031.6152400000001</v>
      </c>
      <c r="J41" s="1"/>
      <c r="K41" s="1"/>
      <c r="L41" s="46">
        <v>1031.6152400000001</v>
      </c>
      <c r="M41" s="1"/>
    </row>
    <row r="42" spans="1:13" ht="97.95" customHeight="1">
      <c r="A42" s="50">
        <v>93</v>
      </c>
      <c r="B42" s="37" t="s">
        <v>236</v>
      </c>
      <c r="C42" s="22" t="s">
        <v>46</v>
      </c>
      <c r="D42" s="20">
        <f t="shared" si="4"/>
        <v>75</v>
      </c>
      <c r="E42" s="20"/>
      <c r="F42" s="20"/>
      <c r="G42" s="20">
        <v>75</v>
      </c>
      <c r="H42" s="20"/>
      <c r="I42" s="2">
        <f>SUM(J42:L42)</f>
        <v>75</v>
      </c>
      <c r="J42" s="1"/>
      <c r="K42" s="1"/>
      <c r="L42" s="6">
        <v>75</v>
      </c>
      <c r="M42" s="1"/>
    </row>
    <row r="43" spans="1:13" ht="37.200000000000003" customHeight="1">
      <c r="A43" s="50">
        <v>24</v>
      </c>
      <c r="B43" s="37" t="s">
        <v>237</v>
      </c>
      <c r="C43" s="22" t="s">
        <v>48</v>
      </c>
      <c r="D43" s="20">
        <f t="shared" si="4"/>
        <v>2061.4236999999998</v>
      </c>
      <c r="E43" s="20"/>
      <c r="F43" s="20"/>
      <c r="G43" s="20">
        <f>2061.414-7.7303+7.74</f>
        <v>2061.4236999999998</v>
      </c>
      <c r="H43" s="20"/>
      <c r="I43" s="44">
        <f>SUM(J43:L43)</f>
        <v>2053.6837</v>
      </c>
      <c r="J43" s="1"/>
      <c r="K43" s="1"/>
      <c r="L43" s="46">
        <v>2053.6837</v>
      </c>
      <c r="M43" s="1"/>
    </row>
    <row r="44" spans="1:13" ht="28.2">
      <c r="A44" s="50">
        <v>134</v>
      </c>
      <c r="B44" s="37" t="s">
        <v>238</v>
      </c>
      <c r="C44" s="22" t="s">
        <v>49</v>
      </c>
      <c r="D44" s="20">
        <f t="shared" si="4"/>
        <v>299.64</v>
      </c>
      <c r="E44" s="20"/>
      <c r="F44" s="20"/>
      <c r="G44" s="20">
        <v>299.64</v>
      </c>
      <c r="H44" s="20"/>
      <c r="I44" s="2">
        <f>SUM(J44:L44)</f>
        <v>0</v>
      </c>
      <c r="J44" s="1"/>
      <c r="K44" s="1"/>
      <c r="L44" s="6"/>
      <c r="M44" s="1"/>
    </row>
    <row r="45" spans="1:13" ht="29.4" customHeight="1">
      <c r="A45" s="50">
        <v>25</v>
      </c>
      <c r="B45" s="37" t="s">
        <v>239</v>
      </c>
      <c r="C45" s="22" t="s">
        <v>50</v>
      </c>
      <c r="D45" s="20">
        <f t="shared" si="4"/>
        <v>2405.1639999999998</v>
      </c>
      <c r="E45" s="20"/>
      <c r="F45" s="20"/>
      <c r="G45" s="20">
        <f>2417.883-12.719</f>
        <v>2405.1639999999998</v>
      </c>
      <c r="H45" s="20"/>
      <c r="I45" s="44">
        <f>SUM(J45:L45)</f>
        <v>2405.1640000000002</v>
      </c>
      <c r="J45" s="1"/>
      <c r="K45" s="1"/>
      <c r="L45" s="46">
        <v>2405.1640000000002</v>
      </c>
      <c r="M45" s="1"/>
    </row>
    <row r="46" spans="1:13" ht="38.4" customHeight="1">
      <c r="A46" s="50">
        <v>26</v>
      </c>
      <c r="B46" s="37" t="s">
        <v>240</v>
      </c>
      <c r="C46" s="54" t="s">
        <v>453</v>
      </c>
      <c r="D46" s="20">
        <f t="shared" si="4"/>
        <v>1090.451</v>
      </c>
      <c r="E46" s="20"/>
      <c r="F46" s="20"/>
      <c r="G46" s="20">
        <f>991.578+98.873</f>
        <v>1090.451</v>
      </c>
      <c r="H46" s="20"/>
      <c r="I46" s="44">
        <f>SUM(J46:L46)</f>
        <v>1090.451</v>
      </c>
      <c r="J46" s="1"/>
      <c r="K46" s="1"/>
      <c r="L46" s="46">
        <v>1090.451</v>
      </c>
      <c r="M46" s="1"/>
    </row>
    <row r="47" spans="1:13" ht="43.95" customHeight="1">
      <c r="A47" s="50">
        <v>27</v>
      </c>
      <c r="B47" s="37" t="s">
        <v>241</v>
      </c>
      <c r="C47" s="22" t="s">
        <v>51</v>
      </c>
      <c r="D47" s="20">
        <f t="shared" si="4"/>
        <v>3452.51403999999</v>
      </c>
      <c r="E47" s="20"/>
      <c r="F47" s="20"/>
      <c r="G47" s="20">
        <f>3460.11016999999-7.59613</f>
        <v>3452.51403999999</v>
      </c>
      <c r="H47" s="20"/>
      <c r="I47" s="44">
        <f>SUM(J47:L47)</f>
        <v>3452.51404</v>
      </c>
      <c r="J47" s="1"/>
      <c r="K47" s="1"/>
      <c r="L47" s="46">
        <v>3452.51404</v>
      </c>
      <c r="M47" s="1"/>
    </row>
    <row r="48" spans="1:13" ht="28.2">
      <c r="A48" s="50">
        <v>28</v>
      </c>
      <c r="B48" s="37" t="s">
        <v>242</v>
      </c>
      <c r="C48" s="22" t="s">
        <v>52</v>
      </c>
      <c r="D48" s="20">
        <f t="shared" si="4"/>
        <v>713.52774999999997</v>
      </c>
      <c r="E48" s="20"/>
      <c r="F48" s="20"/>
      <c r="G48" s="20">
        <f>713.532-28.43425+28.43</f>
        <v>713.52774999999997</v>
      </c>
      <c r="H48" s="20"/>
      <c r="I48" s="44">
        <f>SUM(J48:L48)</f>
        <v>685.09775000000002</v>
      </c>
      <c r="J48" s="1"/>
      <c r="K48" s="1"/>
      <c r="L48" s="47">
        <v>685.09775000000002</v>
      </c>
      <c r="M48" s="1"/>
    </row>
    <row r="49" spans="1:13" ht="28.2">
      <c r="A49" s="50">
        <v>104</v>
      </c>
      <c r="B49" s="37" t="s">
        <v>243</v>
      </c>
      <c r="C49" s="22" t="s">
        <v>53</v>
      </c>
      <c r="D49" s="20">
        <f t="shared" si="4"/>
        <v>500</v>
      </c>
      <c r="E49" s="20"/>
      <c r="F49" s="20"/>
      <c r="G49" s="20">
        <v>500</v>
      </c>
      <c r="H49" s="20"/>
      <c r="I49" s="44">
        <f>SUM(J49:L49)</f>
        <v>500</v>
      </c>
      <c r="J49" s="1"/>
      <c r="K49" s="1"/>
      <c r="L49" s="47">
        <v>500</v>
      </c>
      <c r="M49" s="1"/>
    </row>
    <row r="50" spans="1:13">
      <c r="B50" s="23"/>
      <c r="C50" s="23" t="s">
        <v>54</v>
      </c>
      <c r="D50" s="24">
        <f>SUM(E50:H50)</f>
        <v>38232.209619999994</v>
      </c>
      <c r="E50" s="24">
        <f>SUM(E26:E49)</f>
        <v>0</v>
      </c>
      <c r="F50" s="24">
        <f>SUM(F26:F49)</f>
        <v>0</v>
      </c>
      <c r="G50" s="24">
        <f>SUM(G26:G49)</f>
        <v>25032.210869999995</v>
      </c>
      <c r="H50" s="24">
        <f>SUM(H26:H49)-H36</f>
        <v>13199.998750000002</v>
      </c>
      <c r="I50" s="41">
        <f t="shared" ref="I50:L50" si="7">SUM(I26:I49)</f>
        <v>17239.698909999999</v>
      </c>
      <c r="J50" s="41">
        <f t="shared" si="7"/>
        <v>0</v>
      </c>
      <c r="K50" s="41">
        <f t="shared" si="7"/>
        <v>0</v>
      </c>
      <c r="L50" s="41">
        <f t="shared" si="7"/>
        <v>17239.698909999999</v>
      </c>
      <c r="M50" s="41">
        <f>SUM(M26:M49)-M36</f>
        <v>12538.127369999998</v>
      </c>
    </row>
    <row r="51" spans="1:13" ht="13.2" customHeight="1">
      <c r="B51" s="66" t="s">
        <v>55</v>
      </c>
      <c r="C51" s="71"/>
      <c r="D51" s="71">
        <f t="shared" si="4"/>
        <v>0</v>
      </c>
      <c r="E51" s="71"/>
      <c r="F51" s="71"/>
      <c r="G51" s="71"/>
      <c r="H51" s="85"/>
      <c r="I51" s="1"/>
      <c r="J51" s="1"/>
      <c r="K51" s="1"/>
      <c r="L51" s="6"/>
      <c r="M51" s="6"/>
    </row>
    <row r="52" spans="1:13" ht="55.8">
      <c r="A52" s="50" t="s">
        <v>437</v>
      </c>
      <c r="B52" s="36" t="s">
        <v>244</v>
      </c>
      <c r="C52" s="22" t="s">
        <v>427</v>
      </c>
      <c r="D52" s="20">
        <f t="shared" si="4"/>
        <v>7293.63</v>
      </c>
      <c r="E52" s="20"/>
      <c r="F52" s="20">
        <v>3640</v>
      </c>
      <c r="G52" s="20">
        <f>3640+13.63</f>
        <v>3653.63</v>
      </c>
      <c r="H52" s="20"/>
      <c r="I52" s="44">
        <f>SUM(J52:L52)</f>
        <v>7253.0502400000005</v>
      </c>
      <c r="J52" s="1"/>
      <c r="K52" s="11">
        <f>3532.70778+88.51734</f>
        <v>3621.2251200000001</v>
      </c>
      <c r="L52" s="46">
        <f>1327.93788+2204.76998+99.11726</f>
        <v>3631.82512</v>
      </c>
      <c r="M52" s="6"/>
    </row>
    <row r="53" spans="1:13" ht="27">
      <c r="B53" s="23"/>
      <c r="C53" s="23" t="s">
        <v>56</v>
      </c>
      <c r="D53" s="24">
        <f>SUM(E53:H53)</f>
        <v>7293.63</v>
      </c>
      <c r="E53" s="24">
        <f t="shared" ref="E53:M53" si="8">SUM(E52)</f>
        <v>0</v>
      </c>
      <c r="F53" s="24">
        <f t="shared" si="8"/>
        <v>3640</v>
      </c>
      <c r="G53" s="24">
        <f t="shared" si="8"/>
        <v>3653.63</v>
      </c>
      <c r="H53" s="24">
        <f t="shared" si="8"/>
        <v>0</v>
      </c>
      <c r="I53" s="41">
        <f t="shared" si="8"/>
        <v>7253.0502400000005</v>
      </c>
      <c r="J53" s="41">
        <f t="shared" si="8"/>
        <v>0</v>
      </c>
      <c r="K53" s="41">
        <f t="shared" si="8"/>
        <v>3621.2251200000001</v>
      </c>
      <c r="L53" s="41">
        <f t="shared" si="8"/>
        <v>3631.82512</v>
      </c>
      <c r="M53" s="41">
        <f t="shared" si="8"/>
        <v>0</v>
      </c>
    </row>
    <row r="54" spans="1:13" ht="19.8" customHeight="1">
      <c r="B54" s="66" t="s">
        <v>57</v>
      </c>
      <c r="C54" s="71"/>
      <c r="D54" s="71">
        <f t="shared" si="4"/>
        <v>0</v>
      </c>
      <c r="E54" s="71"/>
      <c r="F54" s="71"/>
      <c r="G54" s="71"/>
      <c r="H54" s="71"/>
      <c r="I54" s="1"/>
      <c r="J54" s="1"/>
      <c r="K54" s="1"/>
      <c r="L54" s="6"/>
      <c r="M54" s="6"/>
    </row>
    <row r="55" spans="1:13" ht="44.4" customHeight="1">
      <c r="A55" s="50">
        <v>127</v>
      </c>
      <c r="B55" s="36" t="s">
        <v>245</v>
      </c>
      <c r="C55" s="22" t="s">
        <v>58</v>
      </c>
      <c r="D55" s="20">
        <f t="shared" si="4"/>
        <v>305.30599999999998</v>
      </c>
      <c r="E55" s="20"/>
      <c r="F55" s="20"/>
      <c r="G55" s="20">
        <f>350-44.694</f>
        <v>305.30599999999998</v>
      </c>
      <c r="H55" s="20"/>
      <c r="I55" s="9">
        <f>SUM(J55:L55)</f>
        <v>305.30599999999998</v>
      </c>
      <c r="J55" s="1"/>
      <c r="K55" s="1"/>
      <c r="L55" s="47">
        <v>305.30599999999998</v>
      </c>
      <c r="M55" s="6"/>
    </row>
    <row r="56" spans="1:13" ht="46.2" customHeight="1">
      <c r="A56" s="50">
        <v>3</v>
      </c>
      <c r="B56" s="36" t="s">
        <v>246</v>
      </c>
      <c r="C56" s="22" t="s">
        <v>59</v>
      </c>
      <c r="D56" s="20">
        <f t="shared" si="4"/>
        <v>278.77100000000002</v>
      </c>
      <c r="E56" s="20"/>
      <c r="F56" s="20"/>
      <c r="G56" s="20">
        <f>300-21.229</f>
        <v>278.77100000000002</v>
      </c>
      <c r="H56" s="20"/>
      <c r="I56" s="9">
        <f>SUM(J56:L56)</f>
        <v>278.77100000000002</v>
      </c>
      <c r="J56" s="1"/>
      <c r="K56" s="1"/>
      <c r="L56" s="47">
        <v>278.77100000000002</v>
      </c>
      <c r="M56" s="6"/>
    </row>
    <row r="57" spans="1:13" ht="56.4" customHeight="1">
      <c r="A57" s="50">
        <v>10</v>
      </c>
      <c r="B57" s="36" t="s">
        <v>247</v>
      </c>
      <c r="C57" s="22" t="s">
        <v>60</v>
      </c>
      <c r="D57" s="20">
        <f t="shared" si="4"/>
        <v>325.38900000000001</v>
      </c>
      <c r="E57" s="20"/>
      <c r="F57" s="20"/>
      <c r="G57" s="20">
        <f>300+25.389</f>
        <v>325.38900000000001</v>
      </c>
      <c r="H57" s="20"/>
      <c r="I57" s="9">
        <f>SUM(J57:L57)</f>
        <v>325.38900000000001</v>
      </c>
      <c r="J57" s="1"/>
      <c r="K57" s="1"/>
      <c r="L57" s="6">
        <v>325.38900000000001</v>
      </c>
      <c r="M57" s="6"/>
    </row>
    <row r="58" spans="1:13" ht="46.95" customHeight="1">
      <c r="A58" s="50">
        <v>115</v>
      </c>
      <c r="B58" s="36" t="s">
        <v>248</v>
      </c>
      <c r="C58" s="22" t="s">
        <v>61</v>
      </c>
      <c r="D58" s="20">
        <f t="shared" si="4"/>
        <v>300</v>
      </c>
      <c r="E58" s="20"/>
      <c r="F58" s="20"/>
      <c r="G58" s="20">
        <v>300</v>
      </c>
      <c r="H58" s="20"/>
      <c r="I58" s="9">
        <f>SUM(J58:L58)</f>
        <v>300</v>
      </c>
      <c r="J58" s="1"/>
      <c r="K58" s="1"/>
      <c r="L58" s="47">
        <v>300</v>
      </c>
      <c r="M58" s="6"/>
    </row>
    <row r="59" spans="1:13" ht="48" customHeight="1">
      <c r="A59" s="50">
        <v>71</v>
      </c>
      <c r="B59" s="36" t="s">
        <v>249</v>
      </c>
      <c r="C59" s="22" t="s">
        <v>62</v>
      </c>
      <c r="D59" s="20">
        <f t="shared" si="4"/>
        <v>317.67333000000002</v>
      </c>
      <c r="E59" s="20"/>
      <c r="F59" s="20"/>
      <c r="G59" s="20">
        <f>300+7.06889+3.53444+7.07</f>
        <v>317.67333000000002</v>
      </c>
      <c r="H59" s="20"/>
      <c r="I59" s="9">
        <f>SUM(J59:L59)</f>
        <v>310.60333000000003</v>
      </c>
      <c r="J59" s="1"/>
      <c r="K59" s="1"/>
      <c r="L59" s="47">
        <f>300+7.06889+3.53444</f>
        <v>310.60333000000003</v>
      </c>
      <c r="M59" s="1"/>
    </row>
    <row r="60" spans="1:13" ht="57.6" customHeight="1">
      <c r="A60" s="50">
        <v>29</v>
      </c>
      <c r="B60" s="36" t="s">
        <v>250</v>
      </c>
      <c r="C60" s="22" t="s">
        <v>63</v>
      </c>
      <c r="D60" s="20">
        <f t="shared" ref="D60:D66" si="9">SUM(E60:H60)</f>
        <v>190</v>
      </c>
      <c r="E60" s="20"/>
      <c r="F60" s="20"/>
      <c r="G60" s="20">
        <v>190</v>
      </c>
      <c r="H60" s="20"/>
      <c r="I60" s="9">
        <f>SUM(J60:L60)</f>
        <v>188.36799999999999</v>
      </c>
      <c r="J60" s="1"/>
      <c r="K60" s="1"/>
      <c r="L60" s="6">
        <v>188.36799999999999</v>
      </c>
      <c r="M60" s="6"/>
    </row>
    <row r="61" spans="1:13" ht="60.6" customHeight="1">
      <c r="A61" s="50">
        <v>31</v>
      </c>
      <c r="B61" s="36" t="s">
        <v>251</v>
      </c>
      <c r="C61" s="22" t="s">
        <v>64</v>
      </c>
      <c r="D61" s="20">
        <f t="shared" si="9"/>
        <v>162.76575</v>
      </c>
      <c r="E61" s="20"/>
      <c r="F61" s="20"/>
      <c r="G61" s="20">
        <f>169-6.23425</f>
        <v>162.76575</v>
      </c>
      <c r="H61" s="20"/>
      <c r="I61" s="9">
        <f>SUM(J61:L61)</f>
        <v>162.76575</v>
      </c>
      <c r="J61" s="1"/>
      <c r="K61" s="1"/>
      <c r="L61" s="47">
        <v>162.76575</v>
      </c>
      <c r="M61" s="6"/>
    </row>
    <row r="62" spans="1:13" ht="55.2" customHeight="1">
      <c r="A62" s="50">
        <v>30</v>
      </c>
      <c r="B62" s="36" t="s">
        <v>252</v>
      </c>
      <c r="C62" s="22" t="s">
        <v>65</v>
      </c>
      <c r="D62" s="20">
        <f t="shared" si="9"/>
        <v>180</v>
      </c>
      <c r="E62" s="20"/>
      <c r="F62" s="20"/>
      <c r="G62" s="20">
        <v>180</v>
      </c>
      <c r="H62" s="20"/>
      <c r="I62" s="9">
        <f>SUM(J62:L62)</f>
        <v>178.84299999999999</v>
      </c>
      <c r="J62" s="1"/>
      <c r="K62" s="1"/>
      <c r="L62" s="6">
        <v>178.84299999999999</v>
      </c>
      <c r="M62" s="6"/>
    </row>
    <row r="63" spans="1:13" ht="46.95" customHeight="1">
      <c r="A63" s="50">
        <v>32</v>
      </c>
      <c r="B63" s="36" t="s">
        <v>253</v>
      </c>
      <c r="C63" s="22" t="s">
        <v>66</v>
      </c>
      <c r="D63" s="20">
        <f t="shared" si="9"/>
        <v>318</v>
      </c>
      <c r="E63" s="20"/>
      <c r="F63" s="20"/>
      <c r="G63" s="20">
        <v>318</v>
      </c>
      <c r="H63" s="20"/>
      <c r="I63" s="9">
        <f>SUM(J63:L63)</f>
        <v>318</v>
      </c>
      <c r="J63" s="1"/>
      <c r="K63" s="1"/>
      <c r="L63" s="6">
        <v>318</v>
      </c>
      <c r="M63" s="6"/>
    </row>
    <row r="64" spans="1:13" ht="40.950000000000003" customHeight="1">
      <c r="A64" s="50">
        <v>33</v>
      </c>
      <c r="B64" s="36" t="s">
        <v>254</v>
      </c>
      <c r="C64" s="22" t="s">
        <v>67</v>
      </c>
      <c r="D64" s="20">
        <f t="shared" si="9"/>
        <v>382.5</v>
      </c>
      <c r="E64" s="20"/>
      <c r="F64" s="20"/>
      <c r="G64" s="20">
        <v>382.5</v>
      </c>
      <c r="H64" s="20"/>
      <c r="I64" s="1"/>
      <c r="J64" s="1"/>
      <c r="K64" s="1"/>
      <c r="L64" s="6"/>
      <c r="M64" s="6"/>
    </row>
    <row r="65" spans="1:13" ht="31.2" customHeight="1">
      <c r="B65" s="23"/>
      <c r="C65" s="23" t="s">
        <v>68</v>
      </c>
      <c r="D65" s="24">
        <f t="shared" si="9"/>
        <v>2760.40508</v>
      </c>
      <c r="E65" s="24">
        <f t="shared" ref="E65:M65" si="10">SUM(E55:E64)</f>
        <v>0</v>
      </c>
      <c r="F65" s="24">
        <f t="shared" si="10"/>
        <v>0</v>
      </c>
      <c r="G65" s="24">
        <f t="shared" si="10"/>
        <v>2760.40508</v>
      </c>
      <c r="H65" s="24">
        <f t="shared" si="10"/>
        <v>0</v>
      </c>
      <c r="I65" s="41">
        <f t="shared" si="10"/>
        <v>2368.0460799999996</v>
      </c>
      <c r="J65" s="41">
        <f t="shared" si="10"/>
        <v>0</v>
      </c>
      <c r="K65" s="41">
        <f t="shared" si="10"/>
        <v>0</v>
      </c>
      <c r="L65" s="41">
        <f t="shared" si="10"/>
        <v>2368.0460799999996</v>
      </c>
      <c r="M65" s="41">
        <f t="shared" si="10"/>
        <v>0</v>
      </c>
    </row>
    <row r="66" spans="1:13">
      <c r="B66" s="66" t="s">
        <v>69</v>
      </c>
      <c r="C66" s="71" t="s">
        <v>2</v>
      </c>
      <c r="D66" s="71">
        <f t="shared" si="9"/>
        <v>0</v>
      </c>
      <c r="E66" s="71"/>
      <c r="F66" s="71"/>
      <c r="G66" s="71"/>
      <c r="H66" s="71"/>
      <c r="I66" s="1"/>
      <c r="J66" s="1"/>
      <c r="K66" s="1"/>
      <c r="L66" s="6"/>
      <c r="M66" s="6"/>
    </row>
    <row r="67" spans="1:13" ht="28.2">
      <c r="A67" s="50">
        <v>35</v>
      </c>
      <c r="B67" s="4" t="s">
        <v>255</v>
      </c>
      <c r="C67" s="25" t="s">
        <v>435</v>
      </c>
      <c r="D67" s="20">
        <f>SUM(E67:H67)</f>
        <v>417.72814</v>
      </c>
      <c r="E67" s="1"/>
      <c r="F67" s="1"/>
      <c r="G67" s="20">
        <f>579.96361-162.23561-12.73986+12.74</f>
        <v>417.72814</v>
      </c>
      <c r="H67" s="1"/>
      <c r="I67" s="2">
        <f>SUM(J67:L67)</f>
        <v>404.98813999999999</v>
      </c>
      <c r="J67" s="1"/>
      <c r="K67" s="1"/>
      <c r="L67" s="6">
        <v>404.98813999999999</v>
      </c>
      <c r="M67" s="6"/>
    </row>
    <row r="68" spans="1:13" ht="48" customHeight="1">
      <c r="A68" s="50">
        <v>37</v>
      </c>
      <c r="B68" s="4" t="s">
        <v>256</v>
      </c>
      <c r="C68" s="25" t="s">
        <v>70</v>
      </c>
      <c r="D68" s="20">
        <f t="shared" ref="D68:D103" si="11">SUM(E68:H68)</f>
        <v>661.11599999999999</v>
      </c>
      <c r="E68" s="1"/>
      <c r="F68" s="1"/>
      <c r="G68" s="20">
        <v>661.11599999999999</v>
      </c>
      <c r="H68" s="1"/>
      <c r="I68" s="9">
        <f>SUM(J68:L68)</f>
        <v>661.11598000000004</v>
      </c>
      <c r="J68" s="1"/>
      <c r="K68" s="1"/>
      <c r="L68" s="47">
        <v>661.11598000000004</v>
      </c>
      <c r="M68" s="6"/>
    </row>
    <row r="69" spans="1:13" ht="42.6" customHeight="1">
      <c r="A69" s="50">
        <v>38</v>
      </c>
      <c r="B69" s="4" t="s">
        <v>257</v>
      </c>
      <c r="C69" s="25" t="s">
        <v>71</v>
      </c>
      <c r="D69" s="20">
        <f t="shared" si="11"/>
        <v>298.89999999999998</v>
      </c>
      <c r="E69" s="1"/>
      <c r="F69" s="1"/>
      <c r="G69" s="20">
        <v>298.89999999999998</v>
      </c>
      <c r="H69" s="1"/>
      <c r="I69" s="2">
        <f>SUM(J69:L69)</f>
        <v>0</v>
      </c>
      <c r="J69" s="1"/>
      <c r="K69" s="1"/>
      <c r="L69" s="6"/>
      <c r="M69" s="6"/>
    </row>
    <row r="70" spans="1:13" ht="30" customHeight="1">
      <c r="A70" s="50">
        <v>36</v>
      </c>
      <c r="B70" s="4" t="s">
        <v>258</v>
      </c>
      <c r="C70" s="25" t="s">
        <v>72</v>
      </c>
      <c r="D70" s="20">
        <f t="shared" si="11"/>
        <v>916.26949999999999</v>
      </c>
      <c r="E70" s="1"/>
      <c r="F70" s="1"/>
      <c r="G70" s="20">
        <f>973.467-57.1975</f>
        <v>916.26949999999999</v>
      </c>
      <c r="H70" s="1"/>
      <c r="I70" s="9">
        <f>SUM(J70:L70)</f>
        <v>916.27030999999999</v>
      </c>
      <c r="J70" s="1"/>
      <c r="K70" s="1"/>
      <c r="L70" s="47">
        <v>916.27030999999999</v>
      </c>
      <c r="M70" s="6"/>
    </row>
    <row r="71" spans="1:13" ht="44.4" customHeight="1">
      <c r="A71" s="50">
        <v>39</v>
      </c>
      <c r="B71" s="4" t="s">
        <v>259</v>
      </c>
      <c r="C71" s="25" t="s">
        <v>73</v>
      </c>
      <c r="D71" s="20">
        <f t="shared" si="11"/>
        <v>249.881</v>
      </c>
      <c r="E71" s="1"/>
      <c r="F71" s="1"/>
      <c r="G71" s="20">
        <v>249.881</v>
      </c>
      <c r="H71" s="1"/>
      <c r="I71" s="2">
        <f>SUM(J71:L71)</f>
        <v>249.881</v>
      </c>
      <c r="J71" s="1"/>
      <c r="K71" s="1"/>
      <c r="L71" s="47">
        <v>249.881</v>
      </c>
      <c r="M71" s="6"/>
    </row>
    <row r="72" spans="1:13" ht="42.6" customHeight="1">
      <c r="A72" s="50">
        <v>40</v>
      </c>
      <c r="B72" s="4" t="s">
        <v>260</v>
      </c>
      <c r="C72" s="25" t="s">
        <v>410</v>
      </c>
      <c r="D72" s="20">
        <f t="shared" si="11"/>
        <v>586.16720999999995</v>
      </c>
      <c r="E72" s="1"/>
      <c r="F72" s="1"/>
      <c r="G72" s="20">
        <f>603.756-17.58928-3.93951+3.94</f>
        <v>586.16720999999995</v>
      </c>
      <c r="H72" s="1"/>
      <c r="I72" s="2">
        <f>SUM(J72:L72)</f>
        <v>582.22721000000001</v>
      </c>
      <c r="J72" s="1"/>
      <c r="K72" s="1"/>
      <c r="L72" s="6">
        <v>582.22721000000001</v>
      </c>
      <c r="M72" s="6"/>
    </row>
    <row r="73" spans="1:13" ht="57" customHeight="1">
      <c r="A73" s="50">
        <v>131</v>
      </c>
      <c r="B73" s="4" t="s">
        <v>261</v>
      </c>
      <c r="C73" s="25" t="s">
        <v>74</v>
      </c>
      <c r="D73" s="20">
        <f t="shared" si="11"/>
        <v>478.23928999999998</v>
      </c>
      <c r="E73" s="1"/>
      <c r="F73" s="1"/>
      <c r="G73" s="20">
        <f>458.67169+19.5676</f>
        <v>478.23928999999998</v>
      </c>
      <c r="H73" s="1"/>
      <c r="I73" s="9">
        <f>SUM(J73:L73)</f>
        <v>478.23928999999998</v>
      </c>
      <c r="J73" s="1"/>
      <c r="K73" s="1"/>
      <c r="L73" s="47">
        <v>478.23928999999998</v>
      </c>
      <c r="M73" s="6"/>
    </row>
    <row r="74" spans="1:13" ht="36" customHeight="1">
      <c r="A74" s="50">
        <v>124</v>
      </c>
      <c r="B74" s="4" t="s">
        <v>262</v>
      </c>
      <c r="C74" s="25" t="s">
        <v>442</v>
      </c>
      <c r="D74" s="20">
        <f t="shared" si="11"/>
        <v>776.00199999999995</v>
      </c>
      <c r="E74" s="1"/>
      <c r="F74" s="1"/>
      <c r="G74" s="20">
        <v>776.00199999999995</v>
      </c>
      <c r="H74" s="1"/>
      <c r="I74" s="2">
        <f>SUM(J74:L74)</f>
        <v>776.00288</v>
      </c>
      <c r="J74" s="1"/>
      <c r="K74" s="1"/>
      <c r="L74" s="47">
        <v>776.00288</v>
      </c>
      <c r="M74" s="6"/>
    </row>
    <row r="75" spans="1:13" ht="48.6" customHeight="1">
      <c r="A75" s="50">
        <v>34</v>
      </c>
      <c r="B75" s="4" t="s">
        <v>263</v>
      </c>
      <c r="C75" s="25" t="s">
        <v>171</v>
      </c>
      <c r="D75" s="20">
        <f t="shared" si="11"/>
        <v>37</v>
      </c>
      <c r="E75" s="1"/>
      <c r="F75" s="1"/>
      <c r="G75" s="20">
        <v>37</v>
      </c>
      <c r="H75" s="1"/>
      <c r="I75" s="9">
        <f>SUM(J75:L75)</f>
        <v>37</v>
      </c>
      <c r="J75" s="1"/>
      <c r="K75" s="1"/>
      <c r="L75" s="47">
        <v>37</v>
      </c>
      <c r="M75" s="6"/>
    </row>
    <row r="76" spans="1:13" ht="41.4" customHeight="1">
      <c r="A76" s="50">
        <v>135</v>
      </c>
      <c r="B76" s="4" t="s">
        <v>264</v>
      </c>
      <c r="C76" s="25" t="s">
        <v>187</v>
      </c>
      <c r="D76" s="20">
        <f t="shared" si="11"/>
        <v>235.00133</v>
      </c>
      <c r="E76" s="1"/>
      <c r="F76" s="1"/>
      <c r="G76" s="20">
        <f>234.09133+0.91</f>
        <v>235.00133</v>
      </c>
      <c r="H76" s="1"/>
      <c r="I76" s="2">
        <f>SUM(J76:L76)</f>
        <v>234.09133</v>
      </c>
      <c r="J76" s="1"/>
      <c r="K76" s="1"/>
      <c r="L76" s="6">
        <v>234.09133</v>
      </c>
      <c r="M76" s="6"/>
    </row>
    <row r="77" spans="1:13" ht="57.6" customHeight="1">
      <c r="B77" s="4" t="s">
        <v>265</v>
      </c>
      <c r="C77" s="25" t="s">
        <v>504</v>
      </c>
      <c r="D77" s="20">
        <f t="shared" si="11"/>
        <v>81.444000000000003</v>
      </c>
      <c r="E77" s="1"/>
      <c r="F77" s="1"/>
      <c r="G77" s="20">
        <v>81.444000000000003</v>
      </c>
      <c r="H77" s="1"/>
      <c r="I77" s="2">
        <f>SUM(J77:L77)</f>
        <v>81.444000000000003</v>
      </c>
      <c r="J77" s="1"/>
      <c r="K77" s="1"/>
      <c r="L77" s="6">
        <v>81.444000000000003</v>
      </c>
      <c r="M77" s="6"/>
    </row>
    <row r="78" spans="1:13" ht="30.6" customHeight="1">
      <c r="A78" s="50">
        <v>153</v>
      </c>
      <c r="B78" s="4" t="s">
        <v>266</v>
      </c>
      <c r="C78" s="25" t="s">
        <v>192</v>
      </c>
      <c r="D78" s="20">
        <f t="shared" si="11"/>
        <v>430</v>
      </c>
      <c r="E78" s="1"/>
      <c r="F78" s="1"/>
      <c r="G78" s="20">
        <f>499.549-69.549</f>
        <v>430</v>
      </c>
      <c r="H78" s="1"/>
      <c r="I78" s="2">
        <f>SUM(J78:L78)</f>
        <v>430</v>
      </c>
      <c r="J78" s="1"/>
      <c r="K78" s="1"/>
      <c r="L78" s="6">
        <v>430</v>
      </c>
      <c r="M78" s="6"/>
    </row>
    <row r="79" spans="1:13">
      <c r="B79" s="23"/>
      <c r="C79" s="23" t="s">
        <v>508</v>
      </c>
      <c r="D79" s="24">
        <f t="shared" si="11"/>
        <v>5167.7484700000005</v>
      </c>
      <c r="E79" s="24">
        <f t="shared" ref="E79:F79" si="12">SUM(E67:E78)</f>
        <v>0</v>
      </c>
      <c r="F79" s="24">
        <f t="shared" si="12"/>
        <v>0</v>
      </c>
      <c r="G79" s="24">
        <f>SUM(G67:G78)</f>
        <v>5167.7484700000005</v>
      </c>
      <c r="H79" s="24">
        <f>SUM(H67:H78)</f>
        <v>0</v>
      </c>
      <c r="I79" s="41">
        <f t="shared" ref="I79:M79" si="13">SUM(I67:I78)</f>
        <v>4851.2601400000003</v>
      </c>
      <c r="J79" s="41">
        <f t="shared" si="13"/>
        <v>0</v>
      </c>
      <c r="K79" s="41">
        <f t="shared" si="13"/>
        <v>0</v>
      </c>
      <c r="L79" s="41">
        <f t="shared" si="13"/>
        <v>4851.2601400000003</v>
      </c>
      <c r="M79" s="41">
        <f t="shared" si="13"/>
        <v>0</v>
      </c>
    </row>
    <row r="80" spans="1:13" ht="19.95" customHeight="1">
      <c r="B80" s="66" t="s">
        <v>75</v>
      </c>
      <c r="C80" s="71"/>
      <c r="D80" s="71">
        <f t="shared" si="11"/>
        <v>0</v>
      </c>
      <c r="E80" s="71"/>
      <c r="F80" s="71"/>
      <c r="G80" s="71"/>
      <c r="H80" s="71"/>
      <c r="I80" s="1"/>
      <c r="J80" s="1"/>
      <c r="K80" s="1"/>
      <c r="L80" s="6"/>
      <c r="M80" s="6"/>
    </row>
    <row r="81" spans="1:13" ht="43.2" customHeight="1">
      <c r="A81" s="50">
        <v>41</v>
      </c>
      <c r="B81" s="4" t="s">
        <v>267</v>
      </c>
      <c r="C81" s="25" t="s">
        <v>76</v>
      </c>
      <c r="D81" s="20">
        <f t="shared" si="11"/>
        <v>227.25399999999999</v>
      </c>
      <c r="E81" s="1"/>
      <c r="F81" s="1"/>
      <c r="G81" s="20">
        <v>227.25399999999999</v>
      </c>
      <c r="H81" s="1"/>
      <c r="I81" s="9">
        <f>SUM(J81:L81)</f>
        <v>227.25399999999999</v>
      </c>
      <c r="J81" s="1"/>
      <c r="K81" s="1"/>
      <c r="L81" s="47">
        <v>227.25399999999999</v>
      </c>
      <c r="M81" s="6"/>
    </row>
    <row r="82" spans="1:13" ht="51" customHeight="1">
      <c r="A82" s="50">
        <v>42</v>
      </c>
      <c r="B82" s="4" t="s">
        <v>268</v>
      </c>
      <c r="C82" s="25" t="s">
        <v>450</v>
      </c>
      <c r="D82" s="20">
        <f t="shared" si="11"/>
        <v>178.14600000000002</v>
      </c>
      <c r="E82" s="1"/>
      <c r="F82" s="1"/>
      <c r="G82" s="20">
        <f>178.15-0.004</f>
        <v>178.14600000000002</v>
      </c>
      <c r="H82" s="1"/>
      <c r="I82" s="9">
        <f>SUM(J82:L82)</f>
        <v>178.14599999999999</v>
      </c>
      <c r="J82" s="1"/>
      <c r="K82" s="1"/>
      <c r="L82" s="6">
        <v>178.14599999999999</v>
      </c>
      <c r="M82" s="1"/>
    </row>
    <row r="83" spans="1:13" ht="43.95" customHeight="1">
      <c r="A83" s="50">
        <v>43</v>
      </c>
      <c r="B83" s="4" t="s">
        <v>269</v>
      </c>
      <c r="C83" s="25" t="s">
        <v>77</v>
      </c>
      <c r="D83" s="20">
        <f t="shared" si="11"/>
        <v>185</v>
      </c>
      <c r="E83" s="1"/>
      <c r="F83" s="1"/>
      <c r="G83" s="20">
        <v>185</v>
      </c>
      <c r="H83" s="1"/>
      <c r="I83" s="9">
        <f>SUM(J83:L83)</f>
        <v>185</v>
      </c>
      <c r="J83" s="1"/>
      <c r="K83" s="1"/>
      <c r="L83" s="47">
        <f>142.45+42.55</f>
        <v>185</v>
      </c>
      <c r="M83" s="1"/>
    </row>
    <row r="84" spans="1:13" ht="64.8" customHeight="1">
      <c r="A84" s="50">
        <v>107</v>
      </c>
      <c r="B84" s="4" t="s">
        <v>270</v>
      </c>
      <c r="C84" s="25" t="s">
        <v>78</v>
      </c>
      <c r="D84" s="20">
        <f t="shared" si="11"/>
        <v>979.40499999999997</v>
      </c>
      <c r="E84" s="1"/>
      <c r="F84" s="1"/>
      <c r="G84" s="20">
        <v>979.40499999999997</v>
      </c>
      <c r="H84" s="1"/>
      <c r="I84" s="9">
        <f>SUM(J84:L84)</f>
        <v>930.81196</v>
      </c>
      <c r="J84" s="1"/>
      <c r="K84" s="1"/>
      <c r="L84" s="6">
        <v>930.81196</v>
      </c>
      <c r="M84" s="1"/>
    </row>
    <row r="85" spans="1:13" ht="68.400000000000006" customHeight="1">
      <c r="A85" s="51">
        <v>44</v>
      </c>
      <c r="B85" s="4" t="s">
        <v>271</v>
      </c>
      <c r="C85" s="25" t="s">
        <v>411</v>
      </c>
      <c r="D85" s="20">
        <f t="shared" si="11"/>
        <v>2320.4078399999999</v>
      </c>
      <c r="E85" s="1"/>
      <c r="F85" s="1"/>
      <c r="G85" s="20">
        <v>2320.4078399999999</v>
      </c>
      <c r="H85" s="1"/>
      <c r="I85" s="9">
        <f>SUM(J85:L85)</f>
        <v>2315.58349</v>
      </c>
      <c r="J85" s="1"/>
      <c r="K85" s="1"/>
      <c r="L85" s="6">
        <v>2315.58349</v>
      </c>
      <c r="M85" s="1"/>
    </row>
    <row r="86" spans="1:13" ht="46.95" customHeight="1">
      <c r="A86" s="51">
        <v>45</v>
      </c>
      <c r="B86" s="4" t="s">
        <v>272</v>
      </c>
      <c r="C86" s="25" t="s">
        <v>5</v>
      </c>
      <c r="D86" s="20">
        <f t="shared" si="11"/>
        <v>80</v>
      </c>
      <c r="E86" s="1"/>
      <c r="F86" s="1"/>
      <c r="G86" s="20">
        <v>80</v>
      </c>
      <c r="H86" s="1"/>
      <c r="I86" s="9">
        <f>SUM(J86:L86)</f>
        <v>80</v>
      </c>
      <c r="J86" s="1"/>
      <c r="K86" s="1"/>
      <c r="L86" s="47">
        <v>80</v>
      </c>
      <c r="M86" s="1"/>
    </row>
    <row r="87" spans="1:13" ht="37.200000000000003" customHeight="1">
      <c r="B87" s="4" t="s">
        <v>273</v>
      </c>
      <c r="C87" s="28" t="s">
        <v>443</v>
      </c>
      <c r="D87" s="32">
        <f t="shared" si="11"/>
        <v>191.578</v>
      </c>
      <c r="E87" s="7"/>
      <c r="F87" s="7"/>
      <c r="G87" s="32">
        <v>191.578</v>
      </c>
      <c r="H87" s="7"/>
      <c r="I87" s="9">
        <f>SUM(J87:L87)</f>
        <v>191.578</v>
      </c>
      <c r="J87" s="1"/>
      <c r="K87" s="1"/>
      <c r="L87" s="47">
        <v>191.578</v>
      </c>
      <c r="M87" s="1"/>
    </row>
    <row r="88" spans="1:13" ht="42">
      <c r="A88" s="51">
        <v>46</v>
      </c>
      <c r="B88" s="4" t="s">
        <v>274</v>
      </c>
      <c r="C88" s="25" t="s">
        <v>80</v>
      </c>
      <c r="D88" s="20">
        <f t="shared" si="11"/>
        <v>101.629</v>
      </c>
      <c r="E88" s="1"/>
      <c r="F88" s="1"/>
      <c r="G88" s="20">
        <v>101.629</v>
      </c>
      <c r="H88" s="1"/>
      <c r="I88" s="9">
        <f>SUM(J88:L88)</f>
        <v>101.629</v>
      </c>
      <c r="J88" s="1"/>
      <c r="K88" s="1"/>
      <c r="L88" s="47">
        <v>101.629</v>
      </c>
      <c r="M88" s="1"/>
    </row>
    <row r="89" spans="1:13" ht="43.2" customHeight="1">
      <c r="A89" s="51">
        <v>144</v>
      </c>
      <c r="B89" s="4" t="s">
        <v>275</v>
      </c>
      <c r="C89" s="25" t="s">
        <v>81</v>
      </c>
      <c r="D89" s="20">
        <f t="shared" si="11"/>
        <v>305.02999999999997</v>
      </c>
      <c r="E89" s="1"/>
      <c r="F89" s="1"/>
      <c r="G89" s="20">
        <f>310-4.97</f>
        <v>305.02999999999997</v>
      </c>
      <c r="H89" s="1"/>
      <c r="I89" s="9">
        <f>SUM(J89:L89)</f>
        <v>305.02999999999997</v>
      </c>
      <c r="J89" s="1"/>
      <c r="K89" s="1"/>
      <c r="L89" s="6">
        <v>305.02999999999997</v>
      </c>
      <c r="M89" s="1"/>
    </row>
    <row r="90" spans="1:13" ht="28.2">
      <c r="A90" s="51">
        <v>98</v>
      </c>
      <c r="B90" s="4" t="s">
        <v>276</v>
      </c>
      <c r="C90" s="25" t="s">
        <v>82</v>
      </c>
      <c r="D90" s="20">
        <f t="shared" si="11"/>
        <v>259</v>
      </c>
      <c r="E90" s="1"/>
      <c r="F90" s="1"/>
      <c r="G90" s="20">
        <v>259</v>
      </c>
      <c r="H90" s="1"/>
      <c r="I90" s="9">
        <f>SUM(J90:L90)</f>
        <v>259</v>
      </c>
      <c r="J90" s="1"/>
      <c r="K90" s="1"/>
      <c r="L90" s="47">
        <v>259</v>
      </c>
      <c r="M90" s="1"/>
    </row>
    <row r="91" spans="1:13" ht="47.4" customHeight="1">
      <c r="A91" s="51">
        <v>78</v>
      </c>
      <c r="B91" s="4" t="s">
        <v>277</v>
      </c>
      <c r="C91" s="25" t="s">
        <v>83</v>
      </c>
      <c r="D91" s="20">
        <f t="shared" si="11"/>
        <v>404.26</v>
      </c>
      <c r="E91" s="1"/>
      <c r="F91" s="1"/>
      <c r="G91" s="20">
        <f>406.538-2.278</f>
        <v>404.26</v>
      </c>
      <c r="H91" s="1"/>
      <c r="I91" s="9">
        <f>SUM(J91:L91)</f>
        <v>404.26</v>
      </c>
      <c r="J91" s="1"/>
      <c r="K91" s="1"/>
      <c r="L91" s="6">
        <v>404.26</v>
      </c>
      <c r="M91" s="1"/>
    </row>
    <row r="92" spans="1:13" ht="28.2">
      <c r="A92" s="51">
        <v>73</v>
      </c>
      <c r="B92" s="4" t="s">
        <v>278</v>
      </c>
      <c r="C92" s="25" t="s">
        <v>88</v>
      </c>
      <c r="D92" s="20">
        <f t="shared" si="11"/>
        <v>99.99</v>
      </c>
      <c r="E92" s="1"/>
      <c r="F92" s="1"/>
      <c r="G92" s="20">
        <v>99.99</v>
      </c>
      <c r="H92" s="1"/>
      <c r="I92" s="9">
        <f>SUM(J92:L92)</f>
        <v>99.99</v>
      </c>
      <c r="J92" s="1"/>
      <c r="K92" s="1"/>
      <c r="L92" s="6">
        <v>99.99</v>
      </c>
      <c r="M92" s="1"/>
    </row>
    <row r="93" spans="1:13" ht="28.2">
      <c r="A93" s="51">
        <v>79</v>
      </c>
      <c r="B93" s="4" t="s">
        <v>279</v>
      </c>
      <c r="C93" s="25" t="s">
        <v>85</v>
      </c>
      <c r="D93" s="20">
        <f t="shared" si="11"/>
        <v>193.78300000000002</v>
      </c>
      <c r="E93" s="1"/>
      <c r="F93" s="1"/>
      <c r="G93" s="20">
        <f>198.667-4.884</f>
        <v>193.78300000000002</v>
      </c>
      <c r="H93" s="1"/>
      <c r="I93" s="9">
        <f>SUM(J93:L93)</f>
        <v>193.78299999999999</v>
      </c>
      <c r="J93" s="1"/>
      <c r="K93" s="1"/>
      <c r="L93" s="47">
        <v>193.78299999999999</v>
      </c>
      <c r="M93" s="1"/>
    </row>
    <row r="94" spans="1:13" ht="42">
      <c r="A94" s="51">
        <v>66</v>
      </c>
      <c r="B94" s="4" t="s">
        <v>280</v>
      </c>
      <c r="C94" s="25" t="s">
        <v>84</v>
      </c>
      <c r="D94" s="20">
        <f t="shared" si="11"/>
        <v>93.391000000000005</v>
      </c>
      <c r="E94" s="1"/>
      <c r="F94" s="1"/>
      <c r="G94" s="20">
        <v>93.391000000000005</v>
      </c>
      <c r="H94" s="1"/>
      <c r="I94" s="9">
        <f>SUM(J94:L94)</f>
        <v>93.391000000000005</v>
      </c>
      <c r="J94" s="1"/>
      <c r="K94" s="1"/>
      <c r="L94" s="47">
        <v>93.391000000000005</v>
      </c>
      <c r="M94" s="1"/>
    </row>
    <row r="95" spans="1:13" ht="57.6" customHeight="1">
      <c r="A95" s="51">
        <v>72</v>
      </c>
      <c r="B95" s="4" t="s">
        <v>281</v>
      </c>
      <c r="C95" s="25" t="s">
        <v>87</v>
      </c>
      <c r="D95" s="20">
        <f t="shared" si="11"/>
        <v>154.44300000000001</v>
      </c>
      <c r="E95" s="1"/>
      <c r="F95" s="1"/>
      <c r="G95" s="20">
        <v>154.44300000000001</v>
      </c>
      <c r="H95" s="1"/>
      <c r="I95" s="9">
        <f>SUM(J95:L95)</f>
        <v>154.44300000000001</v>
      </c>
      <c r="J95" s="1"/>
      <c r="K95" s="1"/>
      <c r="L95" s="47">
        <v>154.44300000000001</v>
      </c>
      <c r="M95" s="1"/>
    </row>
    <row r="96" spans="1:13" ht="43.2" customHeight="1">
      <c r="A96" s="51">
        <v>61</v>
      </c>
      <c r="B96" s="4" t="s">
        <v>282</v>
      </c>
      <c r="C96" s="25" t="s">
        <v>86</v>
      </c>
      <c r="D96" s="20">
        <f t="shared" si="11"/>
        <v>592.07300000000009</v>
      </c>
      <c r="E96" s="1"/>
      <c r="F96" s="1"/>
      <c r="G96" s="20">
        <f>718.782-126.709</f>
        <v>592.07300000000009</v>
      </c>
      <c r="H96" s="1"/>
      <c r="I96" s="9">
        <f>SUM(J96:L96)</f>
        <v>592.07299999999998</v>
      </c>
      <c r="J96" s="1"/>
      <c r="K96" s="1"/>
      <c r="L96" s="47">
        <v>592.07299999999998</v>
      </c>
      <c r="M96" s="1"/>
    </row>
    <row r="97" spans="1:13" ht="47.4" customHeight="1">
      <c r="A97" s="51">
        <v>90</v>
      </c>
      <c r="B97" s="4" t="s">
        <v>283</v>
      </c>
      <c r="C97" s="25" t="s">
        <v>89</v>
      </c>
      <c r="D97" s="20">
        <f t="shared" si="11"/>
        <v>286</v>
      </c>
      <c r="E97" s="1"/>
      <c r="F97" s="1"/>
      <c r="G97" s="20">
        <v>286</v>
      </c>
      <c r="H97" s="1"/>
      <c r="I97" s="9">
        <f>SUM(J97:L97)</f>
        <v>286</v>
      </c>
      <c r="J97" s="1"/>
      <c r="K97" s="1"/>
      <c r="L97" s="47">
        <v>286</v>
      </c>
      <c r="M97" s="1"/>
    </row>
    <row r="98" spans="1:13" ht="47.4" customHeight="1">
      <c r="A98" s="51">
        <v>64</v>
      </c>
      <c r="B98" s="4" t="s">
        <v>284</v>
      </c>
      <c r="C98" s="25" t="s">
        <v>90</v>
      </c>
      <c r="D98" s="20">
        <f t="shared" si="11"/>
        <v>63.709670000000003</v>
      </c>
      <c r="E98" s="1"/>
      <c r="F98" s="1"/>
      <c r="G98" s="20">
        <f>141-77.29033</f>
        <v>63.709670000000003</v>
      </c>
      <c r="H98" s="1"/>
      <c r="I98" s="9">
        <f>SUM(J98:L98)</f>
        <v>63.709670000000003</v>
      </c>
      <c r="J98" s="1"/>
      <c r="K98" s="1"/>
      <c r="L98" s="6">
        <v>63.709670000000003</v>
      </c>
      <c r="M98" s="1"/>
    </row>
    <row r="99" spans="1:13" ht="28.2">
      <c r="A99" s="51">
        <v>95</v>
      </c>
      <c r="B99" s="4" t="s">
        <v>285</v>
      </c>
      <c r="C99" s="25" t="s">
        <v>91</v>
      </c>
      <c r="D99" s="20">
        <f t="shared" si="11"/>
        <v>167</v>
      </c>
      <c r="E99" s="1"/>
      <c r="F99" s="1"/>
      <c r="G99" s="20">
        <v>167</v>
      </c>
      <c r="H99" s="1"/>
      <c r="I99" s="9">
        <f>SUM(J99:L99)</f>
        <v>166.75784999999999</v>
      </c>
      <c r="J99" s="1"/>
      <c r="K99" s="1"/>
      <c r="L99" s="58">
        <v>166.75784999999999</v>
      </c>
      <c r="M99" s="1"/>
    </row>
    <row r="100" spans="1:13" ht="63.6" customHeight="1">
      <c r="A100" s="51">
        <v>65</v>
      </c>
      <c r="B100" s="4" t="s">
        <v>286</v>
      </c>
      <c r="C100" s="25" t="s">
        <v>92</v>
      </c>
      <c r="D100" s="20">
        <f t="shared" si="11"/>
        <v>615.78200000000004</v>
      </c>
      <c r="E100" s="1"/>
      <c r="F100" s="1"/>
      <c r="G100" s="20">
        <f>733.868-118.086</f>
        <v>615.78200000000004</v>
      </c>
      <c r="H100" s="1"/>
      <c r="I100" s="9">
        <f>SUM(J100:L100)</f>
        <v>610.46145999999999</v>
      </c>
      <c r="J100" s="1"/>
      <c r="K100" s="1"/>
      <c r="L100" s="6">
        <v>610.46145999999999</v>
      </c>
      <c r="M100" s="1"/>
    </row>
    <row r="101" spans="1:13" ht="60" customHeight="1">
      <c r="A101" s="51">
        <v>86</v>
      </c>
      <c r="B101" s="4" t="s">
        <v>287</v>
      </c>
      <c r="C101" s="25" t="s">
        <v>93</v>
      </c>
      <c r="D101" s="20">
        <f t="shared" si="11"/>
        <v>119.24703</v>
      </c>
      <c r="E101" s="1"/>
      <c r="F101" s="1"/>
      <c r="G101" s="20">
        <f>133-13.75297</f>
        <v>119.24703</v>
      </c>
      <c r="H101" s="1"/>
      <c r="I101" s="9">
        <f>SUM(J101:L101)</f>
        <v>119.05418</v>
      </c>
      <c r="J101" s="1"/>
      <c r="K101" s="1"/>
      <c r="L101" s="47">
        <v>119.05418</v>
      </c>
      <c r="M101" s="1"/>
    </row>
    <row r="102" spans="1:13" ht="60.6" customHeight="1">
      <c r="A102" s="51">
        <v>119</v>
      </c>
      <c r="B102" s="4" t="s">
        <v>288</v>
      </c>
      <c r="C102" s="25" t="s">
        <v>94</v>
      </c>
      <c r="D102" s="20">
        <f t="shared" si="11"/>
        <v>382.77</v>
      </c>
      <c r="E102" s="1"/>
      <c r="F102" s="1"/>
      <c r="G102" s="20">
        <v>382.77</v>
      </c>
      <c r="H102" s="1"/>
      <c r="I102" s="9">
        <f>SUM(J102:L102)</f>
        <v>382.77055000000001</v>
      </c>
      <c r="J102" s="1"/>
      <c r="K102" s="1"/>
      <c r="L102" s="47">
        <v>382.77055000000001</v>
      </c>
      <c r="M102" s="1"/>
    </row>
    <row r="103" spans="1:13" ht="64.2" customHeight="1">
      <c r="A103" s="51">
        <v>5</v>
      </c>
      <c r="B103" s="4" t="s">
        <v>289</v>
      </c>
      <c r="C103" s="28" t="s">
        <v>173</v>
      </c>
      <c r="D103" s="32">
        <f t="shared" si="11"/>
        <v>151.459</v>
      </c>
      <c r="E103" s="7"/>
      <c r="F103" s="7"/>
      <c r="G103" s="32">
        <v>151.459</v>
      </c>
      <c r="H103" s="7"/>
      <c r="I103" s="2">
        <f>SUM(J103:L103)</f>
        <v>151.459</v>
      </c>
      <c r="J103" s="1"/>
      <c r="K103" s="1"/>
      <c r="L103" s="6">
        <v>151.459</v>
      </c>
      <c r="M103" s="1"/>
    </row>
    <row r="104" spans="1:13">
      <c r="B104" s="23"/>
      <c r="C104" s="23" t="s">
        <v>467</v>
      </c>
      <c r="D104" s="24">
        <f>SUM(G104:H104)</f>
        <v>8151.35754</v>
      </c>
      <c r="E104" s="24">
        <f t="shared" ref="E104:F104" si="14">SUM(E81:E103)</f>
        <v>0</v>
      </c>
      <c r="F104" s="24">
        <f t="shared" si="14"/>
        <v>0</v>
      </c>
      <c r="G104" s="24">
        <f>SUM(G81:G103)</f>
        <v>8151.35754</v>
      </c>
      <c r="H104" s="41">
        <f>SUM(H81:H103)</f>
        <v>0</v>
      </c>
      <c r="I104" s="41">
        <f t="shared" ref="I104:M104" si="15">SUM(I81:I103)</f>
        <v>8092.18516</v>
      </c>
      <c r="J104" s="41">
        <f t="shared" si="15"/>
        <v>0</v>
      </c>
      <c r="K104" s="41">
        <f t="shared" si="15"/>
        <v>0</v>
      </c>
      <c r="L104" s="41">
        <f t="shared" si="15"/>
        <v>8092.18516</v>
      </c>
      <c r="M104" s="41">
        <f t="shared" si="15"/>
        <v>0</v>
      </c>
    </row>
    <row r="105" spans="1:13" ht="15" customHeight="1">
      <c r="B105" s="66" t="s">
        <v>95</v>
      </c>
      <c r="C105" s="71"/>
      <c r="D105" s="71"/>
      <c r="E105" s="71"/>
      <c r="F105" s="71"/>
      <c r="G105" s="71"/>
      <c r="H105" s="85"/>
      <c r="I105" s="1"/>
      <c r="J105" s="1"/>
      <c r="K105" s="1"/>
      <c r="L105" s="6"/>
      <c r="M105" s="1"/>
    </row>
    <row r="106" spans="1:13" ht="59.4" customHeight="1">
      <c r="A106" s="51">
        <v>60</v>
      </c>
      <c r="B106" s="4" t="s">
        <v>290</v>
      </c>
      <c r="C106" s="25" t="s">
        <v>97</v>
      </c>
      <c r="D106" s="20">
        <f>SUM(E106:H106)</f>
        <v>992.94600000000003</v>
      </c>
      <c r="E106" s="1"/>
      <c r="F106" s="1"/>
      <c r="G106" s="20">
        <v>992.94600000000003</v>
      </c>
      <c r="H106" s="1"/>
      <c r="I106" s="1"/>
      <c r="J106" s="1"/>
      <c r="K106" s="1"/>
      <c r="L106" s="6"/>
      <c r="M106" s="1"/>
    </row>
    <row r="107" spans="1:13" ht="56.4" customHeight="1">
      <c r="A107" s="51">
        <v>99</v>
      </c>
      <c r="B107" s="4" t="s">
        <v>291</v>
      </c>
      <c r="C107" s="25" t="s">
        <v>96</v>
      </c>
      <c r="D107" s="20">
        <f t="shared" ref="D107:D110" si="16">SUM(E107:H107)</f>
        <v>1134.6969999999999</v>
      </c>
      <c r="E107" s="1"/>
      <c r="F107" s="1"/>
      <c r="G107" s="20">
        <v>1134.6969999999999</v>
      </c>
      <c r="H107" s="1"/>
      <c r="I107" s="2">
        <f>SUM(J107:L107)</f>
        <v>1057.47</v>
      </c>
      <c r="J107" s="1"/>
      <c r="K107" s="1"/>
      <c r="L107" s="6">
        <v>1057.47</v>
      </c>
      <c r="M107" s="1"/>
    </row>
    <row r="108" spans="1:13" ht="28.2">
      <c r="A108" s="51">
        <v>94</v>
      </c>
      <c r="B108" s="4" t="s">
        <v>292</v>
      </c>
      <c r="C108" s="25" t="s">
        <v>107</v>
      </c>
      <c r="D108" s="20">
        <f t="shared" si="16"/>
        <v>555.81200000000001</v>
      </c>
      <c r="E108" s="1"/>
      <c r="F108" s="1"/>
      <c r="G108" s="20">
        <v>555.81200000000001</v>
      </c>
      <c r="H108" s="1"/>
      <c r="I108" s="2">
        <f>SUM(J108:L108)</f>
        <v>0</v>
      </c>
      <c r="J108" s="1"/>
      <c r="K108" s="1"/>
      <c r="L108" s="6"/>
      <c r="M108" s="1"/>
    </row>
    <row r="109" spans="1:13" ht="34.200000000000003" customHeight="1">
      <c r="A109" s="51">
        <v>83</v>
      </c>
      <c r="B109" s="4" t="s">
        <v>293</v>
      </c>
      <c r="C109" s="25" t="s">
        <v>108</v>
      </c>
      <c r="D109" s="20">
        <f t="shared" si="16"/>
        <v>2415.377</v>
      </c>
      <c r="E109" s="1"/>
      <c r="F109" s="1"/>
      <c r="G109" s="20">
        <f>2416.799-1.422</f>
        <v>2415.377</v>
      </c>
      <c r="H109" s="1"/>
      <c r="I109" s="2">
        <f>SUM(J109:L109)</f>
        <v>2415.377</v>
      </c>
      <c r="J109" s="1"/>
      <c r="K109" s="1"/>
      <c r="L109" s="46">
        <f>1935.144+480.233</f>
        <v>2415.377</v>
      </c>
      <c r="M109" s="1"/>
    </row>
    <row r="110" spans="1:13" ht="43.2" customHeight="1">
      <c r="A110" s="50">
        <v>109</v>
      </c>
      <c r="B110" s="4" t="s">
        <v>294</v>
      </c>
      <c r="C110" s="25" t="s">
        <v>109</v>
      </c>
      <c r="D110" s="20">
        <f t="shared" si="16"/>
        <v>118.479</v>
      </c>
      <c r="E110" s="1"/>
      <c r="F110" s="1"/>
      <c r="G110" s="20">
        <v>118.479</v>
      </c>
      <c r="H110" s="1"/>
      <c r="I110" s="1"/>
      <c r="J110" s="1"/>
      <c r="K110" s="1"/>
      <c r="L110" s="6"/>
      <c r="M110" s="1"/>
    </row>
    <row r="111" spans="1:13" ht="27">
      <c r="B111" s="23"/>
      <c r="C111" s="23" t="s">
        <v>110</v>
      </c>
      <c r="D111" s="24">
        <f>SUM(E111:H111)</f>
        <v>5217.3110000000006</v>
      </c>
      <c r="E111" s="24">
        <f t="shared" ref="E111:M111" si="17">SUM(E106:E110)</f>
        <v>0</v>
      </c>
      <c r="F111" s="24">
        <f t="shared" si="17"/>
        <v>0</v>
      </c>
      <c r="G111" s="24">
        <f t="shared" si="17"/>
        <v>5217.3110000000006</v>
      </c>
      <c r="H111" s="41">
        <f t="shared" si="17"/>
        <v>0</v>
      </c>
      <c r="I111" s="41">
        <f t="shared" si="17"/>
        <v>3472.8469999999998</v>
      </c>
      <c r="J111" s="41">
        <f t="shared" si="17"/>
        <v>0</v>
      </c>
      <c r="K111" s="41">
        <f t="shared" si="17"/>
        <v>0</v>
      </c>
      <c r="L111" s="41">
        <f t="shared" si="17"/>
        <v>3472.8469999999998</v>
      </c>
      <c r="M111" s="41">
        <f t="shared" si="17"/>
        <v>0</v>
      </c>
    </row>
    <row r="112" spans="1:13">
      <c r="B112" s="66" t="s">
        <v>111</v>
      </c>
      <c r="C112" s="71"/>
      <c r="D112" s="71"/>
      <c r="E112" s="71"/>
      <c r="F112" s="71"/>
      <c r="G112" s="71"/>
      <c r="H112" s="85"/>
      <c r="I112" s="1"/>
      <c r="J112" s="1"/>
      <c r="K112" s="1"/>
      <c r="L112" s="6"/>
      <c r="M112" s="1"/>
    </row>
    <row r="113" spans="1:13" ht="48.6" customHeight="1">
      <c r="A113" s="50">
        <v>102</v>
      </c>
      <c r="B113" s="4" t="s">
        <v>295</v>
      </c>
      <c r="C113" s="25" t="s">
        <v>112</v>
      </c>
      <c r="D113" s="8">
        <f>SUM(E113:H113)</f>
        <v>403.00700000000001</v>
      </c>
      <c r="E113" s="1"/>
      <c r="F113" s="1"/>
      <c r="G113" s="8">
        <v>403.00700000000001</v>
      </c>
      <c r="H113" s="1"/>
      <c r="I113" s="1"/>
      <c r="J113" s="1"/>
      <c r="K113" s="1"/>
      <c r="L113" s="6"/>
      <c r="M113" s="1"/>
    </row>
    <row r="114" spans="1:13" ht="28.2">
      <c r="A114" s="50">
        <v>2</v>
      </c>
      <c r="B114" s="4" t="s">
        <v>296</v>
      </c>
      <c r="C114" s="25" t="s">
        <v>113</v>
      </c>
      <c r="D114" s="8">
        <f t="shared" ref="D114:D115" si="18">SUM(E114:H114)</f>
        <v>114.697</v>
      </c>
      <c r="E114" s="1"/>
      <c r="F114" s="1"/>
      <c r="G114" s="8">
        <v>114.697</v>
      </c>
      <c r="H114" s="1"/>
      <c r="I114" s="9">
        <f>SUM(J114:L114)</f>
        <v>114.697</v>
      </c>
      <c r="J114" s="1"/>
      <c r="K114" s="1"/>
      <c r="L114" s="47">
        <v>114.697</v>
      </c>
      <c r="M114" s="1"/>
    </row>
    <row r="115" spans="1:13" ht="42.6" customHeight="1">
      <c r="A115" s="50">
        <v>8</v>
      </c>
      <c r="B115" s="39" t="s">
        <v>297</v>
      </c>
      <c r="C115" s="25" t="s">
        <v>114</v>
      </c>
      <c r="D115" s="1">
        <f t="shared" si="18"/>
        <v>881.39700000000005</v>
      </c>
      <c r="E115" s="1"/>
      <c r="F115" s="1"/>
      <c r="G115" s="8">
        <v>881.39700000000005</v>
      </c>
      <c r="H115" s="1"/>
      <c r="I115" s="9">
        <f>SUM(J115:L115)</f>
        <v>881.39700000000005</v>
      </c>
      <c r="J115" s="1"/>
      <c r="K115" s="1"/>
      <c r="L115" s="47">
        <v>881.39700000000005</v>
      </c>
      <c r="M115" s="1"/>
    </row>
    <row r="116" spans="1:13">
      <c r="B116" s="23"/>
      <c r="C116" s="23" t="s">
        <v>141</v>
      </c>
      <c r="D116" s="24">
        <f>SUM(E116:H116)</f>
        <v>1399.1010000000001</v>
      </c>
      <c r="E116" s="24">
        <f t="shared" ref="E116:F116" si="19">SUM(E113:E115)</f>
        <v>0</v>
      </c>
      <c r="F116" s="24">
        <f t="shared" si="19"/>
        <v>0</v>
      </c>
      <c r="G116" s="24">
        <f>SUM(G113:G115)</f>
        <v>1399.1010000000001</v>
      </c>
      <c r="H116" s="41">
        <f>SUM(H113:H115)</f>
        <v>0</v>
      </c>
      <c r="I116" s="41">
        <f t="shared" ref="I116:M116" si="20">SUM(I113:I115)</f>
        <v>996.09400000000005</v>
      </c>
      <c r="J116" s="41">
        <f t="shared" si="20"/>
        <v>0</v>
      </c>
      <c r="K116" s="41">
        <f t="shared" si="20"/>
        <v>0</v>
      </c>
      <c r="L116" s="41">
        <f t="shared" si="20"/>
        <v>996.09400000000005</v>
      </c>
      <c r="M116" s="41">
        <f t="shared" si="20"/>
        <v>0</v>
      </c>
    </row>
    <row r="117" spans="1:13">
      <c r="B117" s="66" t="s">
        <v>115</v>
      </c>
      <c r="C117" s="71"/>
      <c r="D117" s="71"/>
      <c r="E117" s="71"/>
      <c r="F117" s="71"/>
      <c r="G117" s="71"/>
      <c r="H117" s="71"/>
      <c r="I117" s="1"/>
      <c r="J117" s="1"/>
      <c r="K117" s="1"/>
      <c r="L117" s="6"/>
      <c r="M117" s="1"/>
    </row>
    <row r="118" spans="1:13" ht="42">
      <c r="A118" s="50">
        <v>85</v>
      </c>
      <c r="B118" s="4" t="s">
        <v>298</v>
      </c>
      <c r="C118" s="25" t="s">
        <v>116</v>
      </c>
      <c r="D118" s="11">
        <f t="shared" ref="D118:D137" si="21">SUM(E118:H118)</f>
        <v>1234.816</v>
      </c>
      <c r="E118" s="1"/>
      <c r="F118" s="1"/>
      <c r="G118" s="11">
        <v>1234.816</v>
      </c>
      <c r="H118" s="1"/>
      <c r="I118" s="9">
        <f>SUM(J118:L118)</f>
        <v>0</v>
      </c>
      <c r="J118" s="1"/>
      <c r="K118" s="1"/>
      <c r="L118" s="6"/>
      <c r="M118" s="1"/>
    </row>
    <row r="119" spans="1:13" ht="47.4" customHeight="1">
      <c r="A119" s="50">
        <v>161</v>
      </c>
      <c r="B119" s="4" t="s">
        <v>299</v>
      </c>
      <c r="C119" s="25" t="s">
        <v>117</v>
      </c>
      <c r="D119" s="1">
        <f t="shared" si="21"/>
        <v>592.92499999999995</v>
      </c>
      <c r="E119" s="1"/>
      <c r="F119" s="1"/>
      <c r="G119" s="8">
        <v>592.92499999999995</v>
      </c>
      <c r="H119" s="1"/>
      <c r="I119" s="9">
        <f>SUM(J119:L119)</f>
        <v>0</v>
      </c>
      <c r="J119" s="1"/>
      <c r="K119" s="1"/>
      <c r="L119" s="6"/>
      <c r="M119" s="1"/>
    </row>
    <row r="120" spans="1:13" ht="42">
      <c r="A120" s="50">
        <v>63</v>
      </c>
      <c r="B120" s="4" t="s">
        <v>300</v>
      </c>
      <c r="C120" s="25" t="s">
        <v>118</v>
      </c>
      <c r="D120" s="1">
        <f t="shared" si="21"/>
        <v>406.88499999999999</v>
      </c>
      <c r="E120" s="1"/>
      <c r="F120" s="1"/>
      <c r="G120" s="8">
        <v>406.88499999999999</v>
      </c>
      <c r="H120" s="1"/>
      <c r="I120" s="9">
        <f>SUM(J120:L120)</f>
        <v>0</v>
      </c>
      <c r="J120" s="1"/>
      <c r="K120" s="1"/>
      <c r="L120" s="6"/>
      <c r="M120" s="1"/>
    </row>
    <row r="121" spans="1:13" ht="28.2">
      <c r="A121" s="50">
        <v>48</v>
      </c>
      <c r="B121" s="4" t="s">
        <v>301</v>
      </c>
      <c r="C121" s="25" t="s">
        <v>121</v>
      </c>
      <c r="D121" s="8">
        <f t="shared" si="21"/>
        <v>199</v>
      </c>
      <c r="E121" s="1"/>
      <c r="F121" s="1"/>
      <c r="G121" s="8">
        <f>199</f>
        <v>199</v>
      </c>
      <c r="H121" s="1"/>
      <c r="I121" s="9">
        <f>SUM(J121:L121)</f>
        <v>196.54732000000001</v>
      </c>
      <c r="J121" s="1"/>
      <c r="K121" s="1"/>
      <c r="L121" s="6">
        <v>196.54732000000001</v>
      </c>
      <c r="M121" s="1"/>
    </row>
    <row r="122" spans="1:13" ht="61.2" customHeight="1">
      <c r="A122" s="50">
        <v>143</v>
      </c>
      <c r="B122" s="4" t="s">
        <v>302</v>
      </c>
      <c r="C122" s="25" t="s">
        <v>194</v>
      </c>
      <c r="D122" s="11">
        <f t="shared" si="21"/>
        <v>1342.6577199999999</v>
      </c>
      <c r="E122" s="1"/>
      <c r="F122" s="1"/>
      <c r="G122" s="11">
        <v>1342.6577199999999</v>
      </c>
      <c r="H122" s="1"/>
      <c r="I122" s="9">
        <f>SUM(J122:L122)</f>
        <v>0</v>
      </c>
      <c r="J122" s="1"/>
      <c r="K122" s="1"/>
      <c r="L122" s="6"/>
      <c r="M122" s="1"/>
    </row>
    <row r="123" spans="1:13" ht="28.2">
      <c r="A123" s="50">
        <v>108</v>
      </c>
      <c r="B123" s="4" t="s">
        <v>303</v>
      </c>
      <c r="C123" s="25" t="s">
        <v>123</v>
      </c>
      <c r="D123" s="1">
        <f t="shared" si="21"/>
        <v>128.5</v>
      </c>
      <c r="E123" s="1"/>
      <c r="F123" s="1"/>
      <c r="G123" s="8">
        <v>128.5</v>
      </c>
      <c r="H123" s="1"/>
      <c r="I123" s="9">
        <f>SUM(J123:L123)</f>
        <v>0</v>
      </c>
      <c r="J123" s="1"/>
      <c r="K123" s="1"/>
      <c r="L123" s="6"/>
      <c r="M123" s="1"/>
    </row>
    <row r="124" spans="1:13" ht="58.95" customHeight="1">
      <c r="A124" s="50">
        <v>58</v>
      </c>
      <c r="B124" s="4" t="s">
        <v>304</v>
      </c>
      <c r="C124" s="27" t="s">
        <v>127</v>
      </c>
      <c r="D124" s="11">
        <f t="shared" si="21"/>
        <v>1250</v>
      </c>
      <c r="E124" s="1"/>
      <c r="F124" s="1"/>
      <c r="G124" s="63">
        <f>1250</f>
        <v>1250</v>
      </c>
      <c r="H124" s="1"/>
      <c r="I124" s="9">
        <f>SUM(J124:L124)</f>
        <v>335.64400000000001</v>
      </c>
      <c r="J124" s="1"/>
      <c r="K124" s="1"/>
      <c r="L124" s="6">
        <v>335.64400000000001</v>
      </c>
      <c r="M124" s="1"/>
    </row>
    <row r="125" spans="1:13" ht="41.4">
      <c r="A125" s="50">
        <v>106</v>
      </c>
      <c r="B125" s="4" t="s">
        <v>305</v>
      </c>
      <c r="C125" s="27" t="s">
        <v>129</v>
      </c>
      <c r="D125" s="8">
        <f t="shared" si="21"/>
        <v>80.540999999999997</v>
      </c>
      <c r="E125" s="1"/>
      <c r="F125" s="1"/>
      <c r="G125" s="62">
        <v>80.540999999999997</v>
      </c>
      <c r="H125" s="1"/>
      <c r="I125" s="9">
        <f>SUM(J125:L125)</f>
        <v>0</v>
      </c>
      <c r="J125" s="1"/>
      <c r="K125" s="1"/>
      <c r="L125" s="6"/>
      <c r="M125" s="1"/>
    </row>
    <row r="126" spans="1:13" ht="27.6">
      <c r="A126" s="50">
        <v>16</v>
      </c>
      <c r="B126" s="4" t="s">
        <v>306</v>
      </c>
      <c r="C126" s="27" t="s">
        <v>160</v>
      </c>
      <c r="D126" s="1">
        <f t="shared" si="21"/>
        <v>265.57400000000001</v>
      </c>
      <c r="E126" s="1"/>
      <c r="F126" s="1"/>
      <c r="G126" s="1">
        <f>249.95+15.624</f>
        <v>265.57400000000001</v>
      </c>
      <c r="H126" s="1"/>
      <c r="I126" s="9">
        <f>SUM(J126:L126)</f>
        <v>265.57400000000001</v>
      </c>
      <c r="J126" s="1"/>
      <c r="K126" s="1"/>
      <c r="L126" s="47">
        <v>265.57400000000001</v>
      </c>
      <c r="M126" s="1"/>
    </row>
    <row r="127" spans="1:13">
      <c r="B127" s="23"/>
      <c r="C127" s="23" t="s">
        <v>412</v>
      </c>
      <c r="D127" s="24">
        <f>SUM(E127:H127)</f>
        <v>5500.8987200000001</v>
      </c>
      <c r="E127" s="24">
        <f t="shared" ref="E127:M127" si="22">SUM(E118:E126)</f>
        <v>0</v>
      </c>
      <c r="F127" s="24">
        <f t="shared" si="22"/>
        <v>0</v>
      </c>
      <c r="G127" s="24">
        <f t="shared" si="22"/>
        <v>5500.8987200000001</v>
      </c>
      <c r="H127" s="24">
        <f t="shared" si="22"/>
        <v>0</v>
      </c>
      <c r="I127" s="41">
        <f t="shared" si="22"/>
        <v>797.76531999999997</v>
      </c>
      <c r="J127" s="41">
        <f t="shared" si="22"/>
        <v>0</v>
      </c>
      <c r="K127" s="41">
        <f t="shared" si="22"/>
        <v>0</v>
      </c>
      <c r="L127" s="41">
        <f t="shared" si="22"/>
        <v>797.76531999999997</v>
      </c>
      <c r="M127" s="41">
        <f t="shared" si="22"/>
        <v>0</v>
      </c>
    </row>
    <row r="128" spans="1:13">
      <c r="B128" s="66" t="s">
        <v>413</v>
      </c>
      <c r="C128" s="71"/>
      <c r="D128" s="71"/>
      <c r="E128" s="71"/>
      <c r="F128" s="71"/>
      <c r="G128" s="71"/>
      <c r="H128" s="85"/>
      <c r="I128" s="1"/>
      <c r="J128" s="1"/>
      <c r="K128" s="1"/>
      <c r="L128" s="6"/>
      <c r="M128" s="1"/>
    </row>
    <row r="129" spans="1:13" ht="27.6">
      <c r="A129" s="50">
        <v>50</v>
      </c>
      <c r="B129" s="4" t="s">
        <v>468</v>
      </c>
      <c r="C129" s="27" t="s">
        <v>132</v>
      </c>
      <c r="D129" s="8">
        <f t="shared" si="21"/>
        <v>492.52100000000002</v>
      </c>
      <c r="E129" s="1"/>
      <c r="F129" s="1"/>
      <c r="G129" s="8">
        <f>492.521</f>
        <v>492.52100000000002</v>
      </c>
      <c r="H129" s="1"/>
      <c r="I129" s="9">
        <f>SUM(J129:L129)</f>
        <v>482.86444999999998</v>
      </c>
      <c r="J129" s="1"/>
      <c r="K129" s="1"/>
      <c r="L129" s="47">
        <v>482.86444999999998</v>
      </c>
      <c r="M129" s="1"/>
    </row>
    <row r="130" spans="1:13" ht="38.4" customHeight="1">
      <c r="A130" s="50">
        <v>51</v>
      </c>
      <c r="B130" s="4" t="s">
        <v>307</v>
      </c>
      <c r="C130" s="27" t="s">
        <v>133</v>
      </c>
      <c r="D130" s="8">
        <f t="shared" si="21"/>
        <v>175.267</v>
      </c>
      <c r="E130" s="1"/>
      <c r="F130" s="1"/>
      <c r="G130" s="8">
        <f>275-99.733</f>
        <v>175.267</v>
      </c>
      <c r="H130" s="1"/>
      <c r="I130" s="9">
        <f>SUM(J130:L130)</f>
        <v>164.30824999999999</v>
      </c>
      <c r="J130" s="1"/>
      <c r="K130" s="1"/>
      <c r="L130" s="47">
        <v>164.30824999999999</v>
      </c>
      <c r="M130" s="1"/>
    </row>
    <row r="131" spans="1:13" ht="49.2" customHeight="1">
      <c r="A131" s="50">
        <v>57</v>
      </c>
      <c r="B131" s="4" t="s">
        <v>308</v>
      </c>
      <c r="C131" s="27" t="s">
        <v>136</v>
      </c>
      <c r="D131" s="8">
        <f t="shared" si="21"/>
        <v>555.63310999999999</v>
      </c>
      <c r="E131" s="1"/>
      <c r="F131" s="1"/>
      <c r="G131" s="8">
        <f>725.57708-169.94397</f>
        <v>555.63310999999999</v>
      </c>
      <c r="H131" s="1"/>
      <c r="I131" s="9">
        <f>SUM(J131:L131)</f>
        <v>555.63310999999999</v>
      </c>
      <c r="J131" s="1"/>
      <c r="K131" s="1"/>
      <c r="L131" s="47">
        <v>555.63310999999999</v>
      </c>
      <c r="M131" s="1"/>
    </row>
    <row r="132" spans="1:13" ht="27.6">
      <c r="A132" s="51">
        <v>4</v>
      </c>
      <c r="B132" s="4" t="s">
        <v>309</v>
      </c>
      <c r="C132" s="27" t="s">
        <v>134</v>
      </c>
      <c r="D132" s="8">
        <f t="shared" si="21"/>
        <v>29</v>
      </c>
      <c r="E132" s="1"/>
      <c r="F132" s="1"/>
      <c r="G132" s="8">
        <v>29</v>
      </c>
      <c r="H132" s="1"/>
      <c r="I132" s="9">
        <f>SUM(J132:L132)</f>
        <v>29</v>
      </c>
      <c r="J132" s="1"/>
      <c r="K132" s="1"/>
      <c r="L132" s="47">
        <v>29</v>
      </c>
      <c r="M132" s="1"/>
    </row>
    <row r="133" spans="1:13" ht="47.4" customHeight="1">
      <c r="A133" s="50">
        <v>52</v>
      </c>
      <c r="B133" s="4" t="s">
        <v>310</v>
      </c>
      <c r="C133" s="27" t="s">
        <v>135</v>
      </c>
      <c r="D133" s="8">
        <f t="shared" si="21"/>
        <v>883.42838000000006</v>
      </c>
      <c r="E133" s="1"/>
      <c r="F133" s="1"/>
      <c r="G133" s="8">
        <f>803.22825+80.20013</f>
        <v>883.42838000000006</v>
      </c>
      <c r="H133" s="1"/>
      <c r="I133" s="9">
        <f>SUM(J133:L133)</f>
        <v>883.42837999999995</v>
      </c>
      <c r="J133" s="1"/>
      <c r="K133" s="1"/>
      <c r="L133" s="47">
        <v>883.42837999999995</v>
      </c>
      <c r="M133" s="1"/>
    </row>
    <row r="134" spans="1:13" ht="47.4" customHeight="1">
      <c r="A134" s="50">
        <v>53</v>
      </c>
      <c r="B134" s="4" t="s">
        <v>311</v>
      </c>
      <c r="C134" s="27" t="s">
        <v>137</v>
      </c>
      <c r="D134" s="11">
        <f t="shared" si="21"/>
        <v>1071.289</v>
      </c>
      <c r="E134" s="1"/>
      <c r="F134" s="1"/>
      <c r="G134" s="11">
        <v>1071.289</v>
      </c>
      <c r="H134" s="1"/>
      <c r="I134" s="9">
        <f>SUM(J134:L134)</f>
        <v>0</v>
      </c>
      <c r="J134" s="1"/>
      <c r="K134" s="1"/>
      <c r="L134" s="6"/>
      <c r="M134" s="1"/>
    </row>
    <row r="135" spans="1:13" ht="45.6" customHeight="1">
      <c r="A135" s="50">
        <v>100</v>
      </c>
      <c r="B135" s="4" t="s">
        <v>312</v>
      </c>
      <c r="C135" s="27" t="s">
        <v>138</v>
      </c>
      <c r="D135" s="1">
        <f t="shared" si="21"/>
        <v>287.55</v>
      </c>
      <c r="E135" s="1"/>
      <c r="F135" s="1"/>
      <c r="G135" s="8">
        <v>287.55</v>
      </c>
      <c r="H135" s="1"/>
      <c r="I135" s="9">
        <f>SUM(J135:L135)</f>
        <v>0</v>
      </c>
      <c r="J135" s="1"/>
      <c r="K135" s="1"/>
      <c r="L135" s="6"/>
      <c r="M135" s="1"/>
    </row>
    <row r="136" spans="1:13" ht="55.2" customHeight="1">
      <c r="A136" s="50">
        <v>160</v>
      </c>
      <c r="B136" s="4" t="s">
        <v>313</v>
      </c>
      <c r="C136" s="27" t="s">
        <v>139</v>
      </c>
      <c r="D136" s="1">
        <f t="shared" si="21"/>
        <v>614.03300000000002</v>
      </c>
      <c r="E136" s="1"/>
      <c r="F136" s="1"/>
      <c r="G136" s="8">
        <v>614.03300000000002</v>
      </c>
      <c r="H136" s="1"/>
      <c r="I136" s="9">
        <f>SUM(J136:L136)</f>
        <v>0</v>
      </c>
      <c r="J136" s="1"/>
      <c r="K136" s="1"/>
      <c r="L136" s="6"/>
      <c r="M136" s="1"/>
    </row>
    <row r="137" spans="1:13" ht="41.4" customHeight="1">
      <c r="A137" s="50">
        <v>158</v>
      </c>
      <c r="B137" s="39" t="s">
        <v>314</v>
      </c>
      <c r="C137" s="27" t="s">
        <v>140</v>
      </c>
      <c r="D137" s="1">
        <f t="shared" si="21"/>
        <v>28.97</v>
      </c>
      <c r="E137" s="1"/>
      <c r="F137" s="1"/>
      <c r="G137" s="8">
        <v>28.97</v>
      </c>
      <c r="H137" s="1"/>
      <c r="I137" s="9">
        <f>SUM(J137:L137)</f>
        <v>0</v>
      </c>
      <c r="J137" s="1"/>
      <c r="K137" s="1"/>
      <c r="L137" s="6"/>
      <c r="M137" s="1"/>
    </row>
    <row r="138" spans="1:13" ht="72.599999999999994" customHeight="1">
      <c r="A138" s="50">
        <v>159</v>
      </c>
      <c r="B138" s="4" t="s">
        <v>315</v>
      </c>
      <c r="C138" s="27" t="s">
        <v>422</v>
      </c>
      <c r="D138" s="11">
        <f t="shared" ref="D138" si="23">SUM(E138:H138)</f>
        <v>1017.836</v>
      </c>
      <c r="E138" s="11"/>
      <c r="F138" s="11"/>
      <c r="G138" s="11">
        <v>1017.836</v>
      </c>
      <c r="H138" s="1"/>
      <c r="I138" s="9">
        <f>SUM(J138:L138)</f>
        <v>0</v>
      </c>
      <c r="J138" s="1"/>
      <c r="K138" s="1"/>
      <c r="L138" s="6"/>
      <c r="M138" s="1"/>
    </row>
    <row r="139" spans="1:13" ht="54" customHeight="1">
      <c r="A139" s="50">
        <v>11</v>
      </c>
      <c r="B139" s="4" t="s">
        <v>316</v>
      </c>
      <c r="C139" s="27" t="s">
        <v>153</v>
      </c>
      <c r="D139" s="11">
        <f t="shared" ref="D139:D142" si="24">SUM(E139:H139)</f>
        <v>1156.8799999999999</v>
      </c>
      <c r="E139" s="11"/>
      <c r="F139" s="11"/>
      <c r="G139" s="11">
        <f>1330.927-174.047</f>
        <v>1156.8799999999999</v>
      </c>
      <c r="H139" s="1"/>
      <c r="I139" s="9">
        <f>SUM(J139:L139)</f>
        <v>1156.8800000000001</v>
      </c>
      <c r="J139" s="1"/>
      <c r="K139" s="1"/>
      <c r="L139" s="6">
        <v>1156.8800000000001</v>
      </c>
      <c r="M139" s="1"/>
    </row>
    <row r="140" spans="1:13" ht="56.4" customHeight="1">
      <c r="A140" s="50">
        <v>152</v>
      </c>
      <c r="B140" s="4" t="s">
        <v>317</v>
      </c>
      <c r="C140" s="27" t="s">
        <v>421</v>
      </c>
      <c r="D140" s="8">
        <f t="shared" si="24"/>
        <v>404</v>
      </c>
      <c r="E140" s="1"/>
      <c r="F140" s="8"/>
      <c r="G140" s="8">
        <v>404</v>
      </c>
      <c r="H140" s="1"/>
      <c r="I140" s="9">
        <f>SUM(J140:L140)</f>
        <v>0</v>
      </c>
      <c r="J140" s="1"/>
      <c r="K140" s="1"/>
      <c r="L140" s="6"/>
      <c r="M140" s="1"/>
    </row>
    <row r="141" spans="1:13" ht="57.6" customHeight="1">
      <c r="A141" s="50">
        <v>103</v>
      </c>
      <c r="B141" s="4" t="s">
        <v>318</v>
      </c>
      <c r="C141" s="27" t="s">
        <v>423</v>
      </c>
      <c r="D141" s="8">
        <f t="shared" si="24"/>
        <v>308.03899999999999</v>
      </c>
      <c r="E141" s="1"/>
      <c r="F141" s="1"/>
      <c r="G141" s="8">
        <f>250+58.039</f>
        <v>308.03899999999999</v>
      </c>
      <c r="H141" s="1"/>
      <c r="I141" s="9">
        <f>SUM(J141:L141)</f>
        <v>307.76100000000002</v>
      </c>
      <c r="J141" s="1"/>
      <c r="K141" s="1"/>
      <c r="L141" s="47">
        <f>249.722+58.039</f>
        <v>307.76100000000002</v>
      </c>
      <c r="M141" s="1"/>
    </row>
    <row r="142" spans="1:13" ht="60" customHeight="1">
      <c r="A142" s="50">
        <v>87</v>
      </c>
      <c r="B142" s="4" t="s">
        <v>319</v>
      </c>
      <c r="C142" s="27" t="s">
        <v>424</v>
      </c>
      <c r="D142" s="8">
        <f t="shared" si="24"/>
        <v>98.9</v>
      </c>
      <c r="E142" s="1"/>
      <c r="F142" s="1"/>
      <c r="G142" s="8">
        <f>98.9</f>
        <v>98.9</v>
      </c>
      <c r="H142" s="1"/>
      <c r="I142" s="9">
        <f>SUM(J142:L142)</f>
        <v>97.839200000000005</v>
      </c>
      <c r="J142" s="1"/>
      <c r="K142" s="1"/>
      <c r="L142" s="47">
        <v>97.839200000000005</v>
      </c>
      <c r="M142" s="1"/>
    </row>
    <row r="143" spans="1:13" ht="23.4" customHeight="1">
      <c r="B143" s="23"/>
      <c r="C143" s="23" t="s">
        <v>414</v>
      </c>
      <c r="D143" s="24">
        <f>SUM(E143:H143)</f>
        <v>7123.3464900000008</v>
      </c>
      <c r="E143" s="24">
        <f t="shared" ref="E143:M143" si="25">SUM(E129:E142)</f>
        <v>0</v>
      </c>
      <c r="F143" s="24">
        <f t="shared" si="25"/>
        <v>0</v>
      </c>
      <c r="G143" s="24">
        <f t="shared" si="25"/>
        <v>7123.3464900000008</v>
      </c>
      <c r="H143" s="41">
        <f t="shared" si="25"/>
        <v>0</v>
      </c>
      <c r="I143" s="41">
        <f t="shared" si="25"/>
        <v>3677.7143899999996</v>
      </c>
      <c r="J143" s="41">
        <f t="shared" si="25"/>
        <v>0</v>
      </c>
      <c r="K143" s="41">
        <f t="shared" si="25"/>
        <v>0</v>
      </c>
      <c r="L143" s="41">
        <f t="shared" si="25"/>
        <v>3677.7143899999996</v>
      </c>
      <c r="M143" s="41">
        <f t="shared" si="25"/>
        <v>0</v>
      </c>
    </row>
    <row r="144" spans="1:13">
      <c r="B144" s="66" t="s">
        <v>320</v>
      </c>
      <c r="C144" s="66"/>
      <c r="D144" s="66"/>
      <c r="E144" s="66"/>
      <c r="F144" s="66"/>
      <c r="G144" s="66"/>
      <c r="H144" s="66"/>
      <c r="I144" s="1"/>
      <c r="J144" s="1"/>
      <c r="K144" s="1"/>
      <c r="L144" s="6"/>
      <c r="M144" s="1"/>
    </row>
    <row r="145" spans="1:13" ht="46.95" customHeight="1">
      <c r="A145" s="50">
        <v>47</v>
      </c>
      <c r="B145" s="1" t="s">
        <v>321</v>
      </c>
      <c r="C145" s="28" t="s">
        <v>119</v>
      </c>
      <c r="D145" s="7">
        <f t="shared" ref="D145:D154" si="26">SUM(E145:H145)</f>
        <v>416.35399999999998</v>
      </c>
      <c r="E145" s="7"/>
      <c r="F145" s="7"/>
      <c r="G145" s="29">
        <v>416.35399999999998</v>
      </c>
      <c r="H145" s="7"/>
      <c r="I145" s="9">
        <f>SUM(J145:L145)</f>
        <v>416.35446000000002</v>
      </c>
      <c r="J145" s="1"/>
      <c r="K145" s="1"/>
      <c r="L145" s="47">
        <v>416.35446000000002</v>
      </c>
      <c r="M145" s="1"/>
    </row>
    <row r="146" spans="1:13" ht="63.6" customHeight="1">
      <c r="A146" s="50">
        <v>49</v>
      </c>
      <c r="B146" s="7" t="s">
        <v>322</v>
      </c>
      <c r="C146" s="28" t="s">
        <v>122</v>
      </c>
      <c r="D146" s="7">
        <f t="shared" si="26"/>
        <v>786.71600000000001</v>
      </c>
      <c r="E146" s="7"/>
      <c r="F146" s="7"/>
      <c r="G146" s="29">
        <f>848.30814-61.59214</f>
        <v>786.71600000000001</v>
      </c>
      <c r="H146" s="7"/>
      <c r="I146" s="9">
        <f>SUM(J146:L146)</f>
        <v>775.05177000000003</v>
      </c>
      <c r="J146" s="1"/>
      <c r="K146" s="1"/>
      <c r="L146" s="6">
        <v>775.05177000000003</v>
      </c>
      <c r="M146" s="1"/>
    </row>
    <row r="147" spans="1:13" ht="58.2" customHeight="1">
      <c r="A147" s="50">
        <v>77</v>
      </c>
      <c r="B147" s="1" t="s">
        <v>323</v>
      </c>
      <c r="C147" s="26" t="s">
        <v>124</v>
      </c>
      <c r="D147" s="8">
        <f t="shared" si="26"/>
        <v>63.610000000000007</v>
      </c>
      <c r="E147" s="1"/>
      <c r="F147" s="1"/>
      <c r="G147" s="8">
        <f>76.9-13.29</f>
        <v>63.610000000000007</v>
      </c>
      <c r="H147" s="1"/>
      <c r="I147" s="9">
        <f>SUM(J147:L147)</f>
        <v>0</v>
      </c>
      <c r="J147" s="1"/>
      <c r="K147" s="1"/>
      <c r="L147" s="6"/>
      <c r="M147" s="1"/>
    </row>
    <row r="148" spans="1:13" ht="27.6">
      <c r="A148" s="50">
        <v>141</v>
      </c>
      <c r="B148" s="7" t="s">
        <v>324</v>
      </c>
      <c r="C148" s="27" t="s">
        <v>125</v>
      </c>
      <c r="D148" s="11">
        <f t="shared" si="26"/>
        <v>811.35400000000004</v>
      </c>
      <c r="E148" s="11"/>
      <c r="F148" s="11"/>
      <c r="G148" s="11">
        <f>839.23347-27.87947</f>
        <v>811.35400000000004</v>
      </c>
      <c r="H148" s="7"/>
      <c r="I148" s="9">
        <f>SUM(J148:L148)</f>
        <v>810.13012000000003</v>
      </c>
      <c r="J148" s="1"/>
      <c r="K148" s="1"/>
      <c r="L148" s="6">
        <v>810.13012000000003</v>
      </c>
      <c r="M148" s="1"/>
    </row>
    <row r="149" spans="1:13" ht="57" customHeight="1">
      <c r="A149" s="50">
        <v>142</v>
      </c>
      <c r="B149" s="7" t="s">
        <v>325</v>
      </c>
      <c r="C149" s="27" t="s">
        <v>193</v>
      </c>
      <c r="D149" s="11">
        <f t="shared" si="26"/>
        <v>1601.6660000000002</v>
      </c>
      <c r="E149" s="11"/>
      <c r="F149" s="11"/>
      <c r="G149" s="11">
        <f>1479.26374+122.40226</f>
        <v>1601.6660000000002</v>
      </c>
      <c r="H149" s="7"/>
      <c r="I149" s="9">
        <f>SUM(J149:L149)</f>
        <v>1601.6659999999999</v>
      </c>
      <c r="J149" s="1"/>
      <c r="K149" s="1"/>
      <c r="L149" s="46">
        <v>1601.6659999999999</v>
      </c>
      <c r="M149" s="1"/>
    </row>
    <row r="150" spans="1:13" ht="55.2">
      <c r="A150" s="50">
        <v>59</v>
      </c>
      <c r="B150" s="7" t="s">
        <v>326</v>
      </c>
      <c r="C150" s="27" t="s">
        <v>126</v>
      </c>
      <c r="D150" s="29">
        <f t="shared" si="26"/>
        <v>157</v>
      </c>
      <c r="E150" s="7"/>
      <c r="F150" s="7"/>
      <c r="G150" s="29">
        <v>157</v>
      </c>
      <c r="H150" s="7"/>
      <c r="I150" s="9">
        <f>SUM(J150:L150)</f>
        <v>0</v>
      </c>
      <c r="J150" s="1"/>
      <c r="K150" s="1"/>
      <c r="L150" s="6"/>
      <c r="M150" s="1"/>
    </row>
    <row r="151" spans="1:13" ht="70.2" customHeight="1">
      <c r="A151" s="50">
        <v>84</v>
      </c>
      <c r="B151" s="7" t="s">
        <v>327</v>
      </c>
      <c r="C151" s="27" t="s">
        <v>128</v>
      </c>
      <c r="D151" s="29">
        <f t="shared" si="26"/>
        <v>399.255</v>
      </c>
      <c r="E151" s="7"/>
      <c r="F151" s="7"/>
      <c r="G151" s="29">
        <v>399.255</v>
      </c>
      <c r="H151" s="7"/>
      <c r="I151" s="9">
        <f>SUM(J151:L151)</f>
        <v>0</v>
      </c>
      <c r="J151" s="1"/>
      <c r="K151" s="1"/>
      <c r="L151" s="6"/>
      <c r="M151" s="1"/>
    </row>
    <row r="152" spans="1:13" ht="48" customHeight="1">
      <c r="A152" s="50">
        <v>69</v>
      </c>
      <c r="B152" s="7" t="s">
        <v>328</v>
      </c>
      <c r="C152" s="27" t="s">
        <v>130</v>
      </c>
      <c r="D152" s="11">
        <f t="shared" si="26"/>
        <v>1517.134</v>
      </c>
      <c r="E152" s="11"/>
      <c r="F152" s="11"/>
      <c r="G152" s="11">
        <v>1517.134</v>
      </c>
      <c r="H152" s="1"/>
      <c r="I152" s="9">
        <f>SUM(J152:L152)</f>
        <v>519.78700000000003</v>
      </c>
      <c r="J152" s="1"/>
      <c r="K152" s="1"/>
      <c r="L152" s="6">
        <v>519.78700000000003</v>
      </c>
      <c r="M152" s="1"/>
    </row>
    <row r="153" spans="1:13" ht="41.4">
      <c r="A153" s="50">
        <v>70</v>
      </c>
      <c r="B153" s="7" t="s">
        <v>329</v>
      </c>
      <c r="C153" s="27" t="s">
        <v>131</v>
      </c>
      <c r="D153" s="8">
        <f t="shared" si="26"/>
        <v>343.93599999999998</v>
      </c>
      <c r="E153" s="1"/>
      <c r="F153" s="1"/>
      <c r="G153" s="8">
        <f>345.25-1.314</f>
        <v>343.93599999999998</v>
      </c>
      <c r="H153" s="1"/>
      <c r="I153" s="9">
        <f>SUM(J153:L153)</f>
        <v>343.93599999999998</v>
      </c>
      <c r="J153" s="1"/>
      <c r="K153" s="1"/>
      <c r="L153" s="47">
        <v>343.93599999999998</v>
      </c>
      <c r="M153" s="1"/>
    </row>
    <row r="154" spans="1:13" ht="22.8" customHeight="1">
      <c r="B154" s="1" t="s">
        <v>416</v>
      </c>
      <c r="C154" s="27" t="s">
        <v>438</v>
      </c>
      <c r="D154" s="8">
        <f t="shared" si="26"/>
        <v>26.678999999999998</v>
      </c>
      <c r="E154" s="1"/>
      <c r="F154" s="8"/>
      <c r="G154" s="8">
        <v>26.678999999999998</v>
      </c>
      <c r="H154" s="1"/>
      <c r="I154" s="9">
        <f>SUM(J154:L154)</f>
        <v>26.678999999999998</v>
      </c>
      <c r="J154" s="1"/>
      <c r="K154" s="1"/>
      <c r="L154" s="47">
        <v>26.678999999999998</v>
      </c>
      <c r="M154" s="1"/>
    </row>
    <row r="155" spans="1:13" ht="27" customHeight="1">
      <c r="B155" s="23"/>
      <c r="C155" s="23" t="s">
        <v>415</v>
      </c>
      <c r="D155" s="24">
        <f>SUM(E155:H155)</f>
        <v>6123.7039999999997</v>
      </c>
      <c r="E155" s="24">
        <f t="shared" ref="E155:F155" si="27">SUM(E145:E154)</f>
        <v>0</v>
      </c>
      <c r="F155" s="24">
        <f t="shared" si="27"/>
        <v>0</v>
      </c>
      <c r="G155" s="24">
        <f>SUM(G145:G154)</f>
        <v>6123.7039999999997</v>
      </c>
      <c r="H155" s="41">
        <f>SUM(H145:H154)</f>
        <v>0</v>
      </c>
      <c r="I155" s="41">
        <f t="shared" ref="I155:M155" si="28">SUM(I145:I154)</f>
        <v>4493.6043499999996</v>
      </c>
      <c r="J155" s="41">
        <f t="shared" si="28"/>
        <v>0</v>
      </c>
      <c r="K155" s="41">
        <f t="shared" si="28"/>
        <v>0</v>
      </c>
      <c r="L155" s="41">
        <f t="shared" si="28"/>
        <v>4493.6043499999996</v>
      </c>
      <c r="M155" s="41">
        <f t="shared" si="28"/>
        <v>0</v>
      </c>
    </row>
    <row r="156" spans="1:13">
      <c r="B156" s="66" t="s">
        <v>330</v>
      </c>
      <c r="C156" s="66"/>
      <c r="D156" s="66"/>
      <c r="E156" s="66"/>
      <c r="F156" s="66"/>
      <c r="G156" s="66"/>
      <c r="H156" s="67"/>
      <c r="I156" s="1"/>
      <c r="J156" s="1"/>
      <c r="K156" s="1"/>
      <c r="L156" s="6"/>
      <c r="M156" s="1"/>
    </row>
    <row r="157" spans="1:13" ht="51" customHeight="1">
      <c r="A157" s="50">
        <v>145</v>
      </c>
      <c r="B157" s="1" t="s">
        <v>331</v>
      </c>
      <c r="C157" s="19" t="s">
        <v>426</v>
      </c>
      <c r="D157" s="8">
        <f t="shared" ref="D157:D159" si="29">SUM(E157:H157)</f>
        <v>135</v>
      </c>
      <c r="E157" s="1"/>
      <c r="F157" s="1"/>
      <c r="G157" s="8">
        <v>135</v>
      </c>
      <c r="H157" s="1"/>
      <c r="I157" s="1"/>
      <c r="J157" s="1"/>
      <c r="K157" s="1"/>
      <c r="L157" s="6"/>
      <c r="M157" s="3"/>
    </row>
    <row r="158" spans="1:13" ht="47.4" customHeight="1">
      <c r="B158" s="1" t="s">
        <v>332</v>
      </c>
      <c r="C158" s="19" t="s">
        <v>3</v>
      </c>
      <c r="D158" s="8">
        <f t="shared" si="29"/>
        <v>50</v>
      </c>
      <c r="E158" s="8"/>
      <c r="F158" s="8"/>
      <c r="G158" s="8">
        <v>50</v>
      </c>
      <c r="H158" s="1"/>
      <c r="I158" s="1"/>
      <c r="J158" s="1"/>
      <c r="K158" s="1"/>
      <c r="L158" s="6"/>
      <c r="M158" s="3"/>
    </row>
    <row r="159" spans="1:13" ht="61.2" customHeight="1">
      <c r="A159" s="50">
        <v>118</v>
      </c>
      <c r="B159" s="1" t="s">
        <v>333</v>
      </c>
      <c r="C159" s="27" t="s">
        <v>143</v>
      </c>
      <c r="D159" s="8">
        <f t="shared" si="29"/>
        <v>300</v>
      </c>
      <c r="E159" s="8"/>
      <c r="F159" s="8"/>
      <c r="G159" s="8">
        <v>300</v>
      </c>
      <c r="H159" s="1"/>
      <c r="I159" s="1"/>
      <c r="J159" s="1"/>
      <c r="K159" s="1"/>
      <c r="L159" s="6"/>
      <c r="M159" s="1"/>
    </row>
    <row r="160" spans="1:13">
      <c r="B160" s="23"/>
      <c r="C160" s="23" t="s">
        <v>142</v>
      </c>
      <c r="D160" s="24">
        <f>SUM(E160:H160)</f>
        <v>485</v>
      </c>
      <c r="E160" s="24">
        <f t="shared" ref="E160:M160" si="30">SUM(E157:E159)</f>
        <v>0</v>
      </c>
      <c r="F160" s="24">
        <f t="shared" si="30"/>
        <v>0</v>
      </c>
      <c r="G160" s="24">
        <f t="shared" si="30"/>
        <v>485</v>
      </c>
      <c r="H160" s="41">
        <f t="shared" si="30"/>
        <v>0</v>
      </c>
      <c r="I160" s="41">
        <f t="shared" si="30"/>
        <v>0</v>
      </c>
      <c r="J160" s="41">
        <f t="shared" si="30"/>
        <v>0</v>
      </c>
      <c r="K160" s="41">
        <f t="shared" si="30"/>
        <v>0</v>
      </c>
      <c r="L160" s="41">
        <f t="shared" si="30"/>
        <v>0</v>
      </c>
      <c r="M160" s="41">
        <f t="shared" si="30"/>
        <v>0</v>
      </c>
    </row>
    <row r="161" spans="1:14">
      <c r="B161" s="66" t="s">
        <v>334</v>
      </c>
      <c r="C161" s="71"/>
      <c r="D161" s="71"/>
      <c r="E161" s="71"/>
      <c r="F161" s="71"/>
      <c r="G161" s="71"/>
      <c r="H161" s="71"/>
      <c r="I161" s="1"/>
      <c r="J161" s="1"/>
      <c r="K161" s="1"/>
      <c r="L161" s="6"/>
      <c r="M161" s="1"/>
    </row>
    <row r="162" spans="1:14" ht="27.6">
      <c r="B162" s="30" t="s">
        <v>335</v>
      </c>
      <c r="C162" s="27" t="s">
        <v>533</v>
      </c>
      <c r="D162" s="8">
        <f t="shared" ref="D162:D250" si="31">SUM(E162:H162)</f>
        <v>80</v>
      </c>
      <c r="E162" s="1"/>
      <c r="F162" s="1"/>
      <c r="G162" s="8">
        <v>80</v>
      </c>
      <c r="H162" s="1"/>
      <c r="I162" s="9">
        <f>SUM(J162:L162)</f>
        <v>80</v>
      </c>
      <c r="J162" s="1"/>
      <c r="K162" s="1"/>
      <c r="L162" s="47">
        <v>80</v>
      </c>
      <c r="M162" s="1"/>
    </row>
    <row r="163" spans="1:14" ht="48.6" customHeight="1">
      <c r="B163" s="30" t="s">
        <v>336</v>
      </c>
      <c r="C163" s="27" t="s">
        <v>534</v>
      </c>
      <c r="D163" s="8">
        <f t="shared" si="31"/>
        <v>85</v>
      </c>
      <c r="E163" s="1"/>
      <c r="F163" s="1"/>
      <c r="G163" s="8">
        <v>85</v>
      </c>
      <c r="H163" s="1"/>
      <c r="I163" s="9">
        <f>SUM(J163:L163)</f>
        <v>85</v>
      </c>
      <c r="J163" s="1"/>
      <c r="K163" s="1"/>
      <c r="L163" s="47">
        <v>85</v>
      </c>
      <c r="M163" s="1"/>
    </row>
    <row r="164" spans="1:14" ht="64.2" customHeight="1">
      <c r="A164" s="50" t="s">
        <v>437</v>
      </c>
      <c r="B164" s="30" t="s">
        <v>337</v>
      </c>
      <c r="C164" s="27" t="s">
        <v>144</v>
      </c>
      <c r="D164" s="11">
        <f t="shared" si="31"/>
        <v>2520.16</v>
      </c>
      <c r="E164" s="1"/>
      <c r="F164" s="1"/>
      <c r="G164" s="11">
        <v>2520.16</v>
      </c>
      <c r="H164" s="1"/>
      <c r="I164" s="9">
        <f>SUM(J164:L164)</f>
        <v>1260.08</v>
      </c>
      <c r="J164" s="1"/>
      <c r="K164" s="1"/>
      <c r="L164" s="46">
        <f>756.048+504.032</f>
        <v>1260.08</v>
      </c>
      <c r="M164" s="1"/>
    </row>
    <row r="165" spans="1:14" ht="52.95" customHeight="1">
      <c r="A165" s="50">
        <v>148</v>
      </c>
      <c r="B165" s="30" t="s">
        <v>338</v>
      </c>
      <c r="C165" s="27" t="s">
        <v>145</v>
      </c>
      <c r="D165" s="11">
        <f t="shared" si="31"/>
        <v>2294.248</v>
      </c>
      <c r="E165" s="1"/>
      <c r="F165" s="1"/>
      <c r="G165" s="11">
        <v>2294.248</v>
      </c>
      <c r="H165" s="1"/>
      <c r="I165" s="9">
        <f>SUM(J165:L165)</f>
        <v>0</v>
      </c>
      <c r="J165" s="1"/>
      <c r="K165" s="1"/>
      <c r="L165" s="6"/>
      <c r="M165" s="1"/>
    </row>
    <row r="166" spans="1:14" ht="55.95" customHeight="1">
      <c r="A166" s="50">
        <v>149</v>
      </c>
      <c r="B166" s="30" t="s">
        <v>339</v>
      </c>
      <c r="C166" s="27" t="s">
        <v>146</v>
      </c>
      <c r="D166" s="11">
        <f t="shared" si="31"/>
        <v>1350.0829999999999</v>
      </c>
      <c r="E166" s="1"/>
      <c r="F166" s="1"/>
      <c r="G166" s="11">
        <f>1708.966-358.883</f>
        <v>1350.0829999999999</v>
      </c>
      <c r="H166" s="1"/>
      <c r="I166" s="9">
        <f>SUM(J166:L166)</f>
        <v>311.96699999999998</v>
      </c>
      <c r="J166" s="1"/>
      <c r="K166" s="1"/>
      <c r="L166" s="6">
        <v>311.96699999999998</v>
      </c>
      <c r="M166" s="1"/>
      <c r="N166" s="53"/>
    </row>
    <row r="167" spans="1:14" ht="48.6" customHeight="1">
      <c r="A167" s="50">
        <v>150</v>
      </c>
      <c r="B167" s="30" t="s">
        <v>340</v>
      </c>
      <c r="C167" s="27" t="s">
        <v>147</v>
      </c>
      <c r="D167" s="11">
        <f t="shared" si="31"/>
        <v>2264.9850000000001</v>
      </c>
      <c r="E167" s="11"/>
      <c r="F167" s="11"/>
      <c r="G167" s="11">
        <v>2264.9850000000001</v>
      </c>
      <c r="H167" s="1"/>
      <c r="I167" s="9">
        <f>SUM(J167:L167)</f>
        <v>434.96699999999998</v>
      </c>
      <c r="J167" s="1"/>
      <c r="K167" s="1"/>
      <c r="L167" s="6">
        <v>434.96699999999998</v>
      </c>
      <c r="M167" s="1"/>
    </row>
    <row r="168" spans="1:14" ht="43.95" customHeight="1">
      <c r="A168" s="50">
        <v>151</v>
      </c>
      <c r="B168" s="30" t="s">
        <v>341</v>
      </c>
      <c r="C168" s="27" t="s">
        <v>148</v>
      </c>
      <c r="D168" s="11">
        <f t="shared" si="31"/>
        <v>1125.8246999999999</v>
      </c>
      <c r="E168" s="11"/>
      <c r="F168" s="11"/>
      <c r="G168" s="11">
        <v>1125.8246999999999</v>
      </c>
      <c r="H168" s="1"/>
      <c r="I168" s="9">
        <f>SUM(J168:L168)</f>
        <v>247.2895</v>
      </c>
      <c r="J168" s="1"/>
      <c r="K168" s="1"/>
      <c r="L168" s="6">
        <v>247.2895</v>
      </c>
      <c r="M168" s="1"/>
    </row>
    <row r="169" spans="1:14" ht="51.6" customHeight="1">
      <c r="A169" s="50">
        <v>139</v>
      </c>
      <c r="B169" s="30" t="s">
        <v>342</v>
      </c>
      <c r="C169" s="27" t="s">
        <v>149</v>
      </c>
      <c r="D169" s="11">
        <f t="shared" si="31"/>
        <v>1021.5242199999999</v>
      </c>
      <c r="E169" s="11"/>
      <c r="F169" s="11"/>
      <c r="G169" s="11">
        <f>1238.14997-250.21297+1.76722+31.82</f>
        <v>1021.5242199999999</v>
      </c>
      <c r="H169" s="1"/>
      <c r="I169" s="9">
        <f>SUM(J169:L169)</f>
        <v>989.70421999999996</v>
      </c>
      <c r="J169" s="1"/>
      <c r="K169" s="1"/>
      <c r="L169" s="6">
        <f>1.76722+987.937</f>
        <v>989.70421999999996</v>
      </c>
      <c r="M169" s="1"/>
    </row>
    <row r="170" spans="1:14" ht="45.6" customHeight="1">
      <c r="A170" s="50">
        <v>121</v>
      </c>
      <c r="B170" s="30" t="s">
        <v>343</v>
      </c>
      <c r="C170" s="27" t="s">
        <v>150</v>
      </c>
      <c r="D170" s="8">
        <f t="shared" si="31"/>
        <v>149.63354000000001</v>
      </c>
      <c r="E170" s="1"/>
      <c r="F170" s="1"/>
      <c r="G170" s="8">
        <f>150.91-1.27646</f>
        <v>149.63354000000001</v>
      </c>
      <c r="H170" s="1"/>
      <c r="I170" s="9">
        <f>SUM(J170:L170)</f>
        <v>149.63355000000001</v>
      </c>
      <c r="J170" s="1"/>
      <c r="K170" s="1"/>
      <c r="L170" s="47">
        <v>149.63355000000001</v>
      </c>
      <c r="M170" s="1"/>
    </row>
    <row r="171" spans="1:14" ht="53.4" customHeight="1">
      <c r="A171" s="50">
        <v>12</v>
      </c>
      <c r="B171" s="30" t="s">
        <v>344</v>
      </c>
      <c r="C171" s="27" t="s">
        <v>154</v>
      </c>
      <c r="D171" s="8">
        <f t="shared" si="31"/>
        <v>65</v>
      </c>
      <c r="E171" s="1"/>
      <c r="F171" s="1"/>
      <c r="G171" s="8">
        <v>65</v>
      </c>
      <c r="H171" s="1"/>
      <c r="I171" s="9">
        <f>SUM(J171:L171)</f>
        <v>65</v>
      </c>
      <c r="J171" s="1"/>
      <c r="K171" s="1"/>
      <c r="L171" s="6">
        <v>65</v>
      </c>
      <c r="M171" s="1"/>
    </row>
    <row r="172" spans="1:14" ht="27.6">
      <c r="A172" s="50">
        <v>13</v>
      </c>
      <c r="B172" s="30" t="s">
        <v>346</v>
      </c>
      <c r="C172" s="27" t="s">
        <v>180</v>
      </c>
      <c r="D172" s="8">
        <f t="shared" si="31"/>
        <v>80</v>
      </c>
      <c r="E172" s="1"/>
      <c r="F172" s="1"/>
      <c r="G172" s="8">
        <v>80</v>
      </c>
      <c r="H172" s="1"/>
      <c r="I172" s="9">
        <f>SUM(J172:L172)</f>
        <v>80</v>
      </c>
      <c r="J172" s="1"/>
      <c r="K172" s="1"/>
      <c r="L172" s="6">
        <v>80</v>
      </c>
      <c r="M172" s="1"/>
    </row>
    <row r="173" spans="1:14" ht="78.599999999999994" customHeight="1">
      <c r="A173" s="50">
        <v>9</v>
      </c>
      <c r="B173" s="30" t="s">
        <v>345</v>
      </c>
      <c r="C173" s="27" t="s">
        <v>155</v>
      </c>
      <c r="D173" s="8">
        <f t="shared" si="31"/>
        <v>127</v>
      </c>
      <c r="E173" s="1"/>
      <c r="F173" s="1"/>
      <c r="G173" s="8">
        <v>127</v>
      </c>
      <c r="H173" s="1"/>
      <c r="I173" s="9">
        <f>SUM(J173:L173)</f>
        <v>127</v>
      </c>
      <c r="J173" s="1"/>
      <c r="K173" s="1"/>
      <c r="L173" s="47">
        <v>127</v>
      </c>
      <c r="M173" s="1"/>
    </row>
    <row r="174" spans="1:14" ht="28.2" customHeight="1">
      <c r="A174" s="50">
        <v>130</v>
      </c>
      <c r="B174" s="30" t="s">
        <v>347</v>
      </c>
      <c r="C174" s="27" t="s">
        <v>433</v>
      </c>
      <c r="D174" s="8">
        <f t="shared" si="31"/>
        <v>334.66500000000002</v>
      </c>
      <c r="E174" s="1"/>
      <c r="F174" s="1"/>
      <c r="G174" s="8">
        <f>397.899-63.234</f>
        <v>334.66500000000002</v>
      </c>
      <c r="H174" s="1"/>
      <c r="I174" s="9">
        <f>SUM(J174:L174)</f>
        <v>324.68768999999998</v>
      </c>
      <c r="J174" s="1"/>
      <c r="K174" s="1"/>
      <c r="L174" s="6">
        <v>324.68768999999998</v>
      </c>
      <c r="M174" s="1"/>
    </row>
    <row r="175" spans="1:14" ht="42" customHeight="1">
      <c r="A175" s="50">
        <v>14</v>
      </c>
      <c r="B175" s="30" t="s">
        <v>348</v>
      </c>
      <c r="C175" s="27" t="s">
        <v>158</v>
      </c>
      <c r="D175" s="8">
        <f t="shared" si="31"/>
        <v>285.78800000000001</v>
      </c>
      <c r="E175" s="1"/>
      <c r="F175" s="1"/>
      <c r="G175" s="8">
        <f>349.82-64.032</f>
        <v>285.78800000000001</v>
      </c>
      <c r="H175" s="1"/>
      <c r="I175" s="9">
        <f>SUM(J175:L175)</f>
        <v>276.86176</v>
      </c>
      <c r="J175" s="1"/>
      <c r="K175" s="1"/>
      <c r="L175" s="6">
        <f>276.86176</f>
        <v>276.86176</v>
      </c>
      <c r="M175" s="1"/>
    </row>
    <row r="176" spans="1:14" ht="41.4">
      <c r="A176" s="50">
        <v>15</v>
      </c>
      <c r="B176" s="30" t="s">
        <v>349</v>
      </c>
      <c r="C176" s="27" t="s">
        <v>159</v>
      </c>
      <c r="D176" s="8">
        <f t="shared" si="31"/>
        <v>309.00209999999998</v>
      </c>
      <c r="E176" s="1"/>
      <c r="F176" s="1"/>
      <c r="G176" s="8">
        <f>309-34.9479+34.95</f>
        <v>309.00209999999998</v>
      </c>
      <c r="H176" s="1"/>
      <c r="I176" s="9">
        <f>SUM(J176:L176)</f>
        <v>274.0521</v>
      </c>
      <c r="J176" s="1"/>
      <c r="K176" s="1"/>
      <c r="L176" s="47">
        <v>274.0521</v>
      </c>
      <c r="M176" s="1"/>
    </row>
    <row r="177" spans="1:13" ht="41.4">
      <c r="A177" s="50">
        <v>17</v>
      </c>
      <c r="B177" s="30" t="s">
        <v>524</v>
      </c>
      <c r="C177" s="27" t="s">
        <v>161</v>
      </c>
      <c r="D177" s="11">
        <f t="shared" si="31"/>
        <v>1055.72021</v>
      </c>
      <c r="E177" s="1"/>
      <c r="F177" s="1"/>
      <c r="G177" s="11">
        <f>1265.7984-210.07819</f>
        <v>1055.72021</v>
      </c>
      <c r="H177" s="1"/>
      <c r="I177" s="9">
        <f>SUM(J177:L177)</f>
        <v>1055.72021</v>
      </c>
      <c r="J177" s="1"/>
      <c r="K177" s="1"/>
      <c r="L177" s="6">
        <v>1055.72021</v>
      </c>
      <c r="M177" s="1"/>
    </row>
    <row r="178" spans="1:13" ht="27.6">
      <c r="A178" s="50">
        <v>116</v>
      </c>
      <c r="B178" s="30" t="s">
        <v>469</v>
      </c>
      <c r="C178" s="27" t="s">
        <v>164</v>
      </c>
      <c r="D178" s="8">
        <f t="shared" si="31"/>
        <v>542.12408000000005</v>
      </c>
      <c r="E178" s="1"/>
      <c r="F178" s="1"/>
      <c r="G178" s="8">
        <v>542.12408000000005</v>
      </c>
      <c r="H178" s="1"/>
      <c r="I178" s="9">
        <f>SUM(J178:L178)</f>
        <v>542.12408000000005</v>
      </c>
      <c r="J178" s="1"/>
      <c r="K178" s="1"/>
      <c r="L178" s="47">
        <v>542.12408000000005</v>
      </c>
      <c r="M178" s="1"/>
    </row>
    <row r="179" spans="1:13" ht="27.6">
      <c r="A179" s="50">
        <v>67</v>
      </c>
      <c r="B179" s="30" t="s">
        <v>470</v>
      </c>
      <c r="C179" s="27" t="s">
        <v>162</v>
      </c>
      <c r="D179" s="8">
        <f t="shared" si="31"/>
        <v>666.27050000000008</v>
      </c>
      <c r="E179" s="1"/>
      <c r="F179" s="1"/>
      <c r="G179" s="8">
        <f>695.83558-29.56508</f>
        <v>666.27050000000008</v>
      </c>
      <c r="H179" s="1"/>
      <c r="I179" s="44">
        <f>SUM(J179:L179)</f>
        <v>666.27049999999997</v>
      </c>
      <c r="J179" s="1"/>
      <c r="K179" s="1"/>
      <c r="L179" s="47">
        <v>666.27049999999997</v>
      </c>
      <c r="M179" s="1"/>
    </row>
    <row r="180" spans="1:13" ht="27.6">
      <c r="A180" s="50">
        <v>117</v>
      </c>
      <c r="B180" s="30" t="s">
        <v>432</v>
      </c>
      <c r="C180" s="27" t="s">
        <v>163</v>
      </c>
      <c r="D180" s="8">
        <f t="shared" si="31"/>
        <v>220</v>
      </c>
      <c r="E180" s="1"/>
      <c r="F180" s="1"/>
      <c r="G180" s="8">
        <v>220</v>
      </c>
      <c r="H180" s="1"/>
      <c r="I180" s="44">
        <f>SUM(J180:L180)</f>
        <v>220</v>
      </c>
      <c r="J180" s="1"/>
      <c r="K180" s="1"/>
      <c r="L180" s="6">
        <v>220</v>
      </c>
      <c r="M180" s="1"/>
    </row>
    <row r="181" spans="1:13" ht="27.6">
      <c r="A181" s="50">
        <v>18</v>
      </c>
      <c r="B181" s="30" t="s">
        <v>525</v>
      </c>
      <c r="C181" s="27" t="s">
        <v>165</v>
      </c>
      <c r="D181" s="11">
        <f t="shared" si="31"/>
        <v>1357.57872</v>
      </c>
      <c r="E181" s="11"/>
      <c r="F181" s="11"/>
      <c r="G181" s="11">
        <f>1345.37084+57.64489-45.43701</f>
        <v>1357.57872</v>
      </c>
      <c r="H181" s="1"/>
      <c r="I181" s="44">
        <f>SUM(J181:L181)</f>
        <v>1327.7233000000001</v>
      </c>
      <c r="J181" s="1"/>
      <c r="K181" s="1"/>
      <c r="L181" s="46">
        <v>1327.7233000000001</v>
      </c>
      <c r="M181" s="1"/>
    </row>
    <row r="182" spans="1:13" ht="27.6">
      <c r="A182" s="50">
        <v>88</v>
      </c>
      <c r="B182" s="30" t="s">
        <v>526</v>
      </c>
      <c r="C182" s="27" t="s">
        <v>417</v>
      </c>
      <c r="D182" s="11">
        <f t="shared" si="31"/>
        <v>1285.749</v>
      </c>
      <c r="E182" s="11"/>
      <c r="F182" s="11"/>
      <c r="G182" s="11">
        <v>1285.749</v>
      </c>
      <c r="H182" s="1"/>
      <c r="I182" s="44">
        <f>SUM(J182:L182)</f>
        <v>1285.7494899999999</v>
      </c>
      <c r="J182" s="1"/>
      <c r="K182" s="1"/>
      <c r="L182" s="46">
        <v>1285.7494899999999</v>
      </c>
      <c r="M182" s="1"/>
    </row>
    <row r="183" spans="1:13" ht="52.2" customHeight="1">
      <c r="A183" s="50">
        <v>97</v>
      </c>
      <c r="B183" s="30" t="s">
        <v>448</v>
      </c>
      <c r="C183" s="27" t="s">
        <v>166</v>
      </c>
      <c r="D183" s="1">
        <f t="shared" si="31"/>
        <v>136.11699999999999</v>
      </c>
      <c r="E183" s="1"/>
      <c r="F183" s="1"/>
      <c r="G183" s="8">
        <f>267.33-131.213</f>
        <v>136.11699999999999</v>
      </c>
      <c r="H183" s="1"/>
      <c r="I183" s="44">
        <f>SUM(J183:L183)</f>
        <v>127.14362</v>
      </c>
      <c r="J183" s="1"/>
      <c r="K183" s="1"/>
      <c r="L183" s="47">
        <v>127.14362</v>
      </c>
      <c r="M183" s="1"/>
    </row>
    <row r="184" spans="1:13" ht="27.6">
      <c r="B184" s="30" t="s">
        <v>471</v>
      </c>
      <c r="C184" s="27" t="s">
        <v>0</v>
      </c>
      <c r="D184" s="35">
        <f t="shared" si="31"/>
        <v>98</v>
      </c>
      <c r="E184" s="34"/>
      <c r="F184" s="34"/>
      <c r="G184" s="35">
        <f>100-2</f>
        <v>98</v>
      </c>
      <c r="H184" s="34"/>
      <c r="I184" s="44">
        <f>SUM(J184:L184)</f>
        <v>29.4</v>
      </c>
      <c r="J184" s="1"/>
      <c r="K184" s="1"/>
      <c r="L184" s="6">
        <v>29.4</v>
      </c>
      <c r="M184" s="1"/>
    </row>
    <row r="185" spans="1:13" ht="49.2" customHeight="1">
      <c r="A185" s="50">
        <v>54</v>
      </c>
      <c r="B185" s="30" t="s">
        <v>350</v>
      </c>
      <c r="C185" s="27" t="s">
        <v>418</v>
      </c>
      <c r="D185" s="11">
        <f t="shared" si="31"/>
        <v>4948.75</v>
      </c>
      <c r="E185" s="11"/>
      <c r="F185" s="11"/>
      <c r="G185" s="11">
        <v>4948.75</v>
      </c>
      <c r="H185" s="1"/>
      <c r="I185" s="44">
        <f>SUM(J185:L185)</f>
        <v>4875.7971799999996</v>
      </c>
      <c r="J185" s="1"/>
      <c r="K185" s="1"/>
      <c r="L185" s="47">
        <v>4875.7971799999996</v>
      </c>
      <c r="M185" s="1"/>
    </row>
    <row r="186" spans="1:13" ht="41.4">
      <c r="A186" s="50">
        <v>132</v>
      </c>
      <c r="B186" s="30" t="s">
        <v>351</v>
      </c>
      <c r="C186" s="27" t="s">
        <v>419</v>
      </c>
      <c r="D186" s="11">
        <f t="shared" si="31"/>
        <v>6000</v>
      </c>
      <c r="E186" s="11"/>
      <c r="F186" s="11"/>
      <c r="G186" s="11">
        <v>6000</v>
      </c>
      <c r="H186" s="1"/>
      <c r="I186" s="9">
        <f>SUM(J186:L186)</f>
        <v>6000</v>
      </c>
      <c r="J186" s="1"/>
      <c r="K186" s="1"/>
      <c r="L186" s="46">
        <v>6000</v>
      </c>
      <c r="M186" s="1"/>
    </row>
    <row r="187" spans="1:13" ht="41.4">
      <c r="A187" s="50">
        <v>91</v>
      </c>
      <c r="B187" s="30" t="s">
        <v>352</v>
      </c>
      <c r="C187" s="27" t="s">
        <v>167</v>
      </c>
      <c r="D187" s="8">
        <f t="shared" si="31"/>
        <v>499.83300000000003</v>
      </c>
      <c r="E187" s="1"/>
      <c r="F187" s="1"/>
      <c r="G187" s="8">
        <v>499.83300000000003</v>
      </c>
      <c r="H187" s="1"/>
      <c r="I187" s="9">
        <f>SUM(J187:L187)</f>
        <v>499.83332999999999</v>
      </c>
      <c r="J187" s="1"/>
      <c r="K187" s="1"/>
      <c r="L187" s="47">
        <v>499.83332999999999</v>
      </c>
      <c r="M187" s="1"/>
    </row>
    <row r="188" spans="1:13" ht="27.6">
      <c r="B188" s="30" t="s">
        <v>353</v>
      </c>
      <c r="C188" s="27" t="s">
        <v>205</v>
      </c>
      <c r="D188" s="8">
        <f t="shared" si="31"/>
        <v>130.77575999999999</v>
      </c>
      <c r="E188" s="1"/>
      <c r="F188" s="1"/>
      <c r="G188" s="8">
        <v>130.77575999999999</v>
      </c>
      <c r="H188" s="1"/>
      <c r="I188" s="9">
        <f>SUM(J188:L188)</f>
        <v>130.77575999999999</v>
      </c>
      <c r="J188" s="1"/>
      <c r="K188" s="1"/>
      <c r="L188" s="47">
        <f>91.203+15.1+8.61996+15.8528</f>
        <v>130.77575999999999</v>
      </c>
      <c r="M188" s="1"/>
    </row>
    <row r="189" spans="1:13" ht="29.4" customHeight="1">
      <c r="B189" s="30" t="s">
        <v>354</v>
      </c>
      <c r="C189" s="27" t="s">
        <v>535</v>
      </c>
      <c r="D189" s="8">
        <f t="shared" si="31"/>
        <v>80.516999999999996</v>
      </c>
      <c r="E189" s="1"/>
      <c r="F189" s="1"/>
      <c r="G189" s="8">
        <v>80.516999999999996</v>
      </c>
      <c r="H189" s="1"/>
      <c r="I189" s="9">
        <f>SUM(J189:L189)</f>
        <v>80.516999999999996</v>
      </c>
      <c r="J189" s="1"/>
      <c r="K189" s="1"/>
      <c r="L189" s="47">
        <v>80.516999999999996</v>
      </c>
      <c r="M189" s="1"/>
    </row>
    <row r="190" spans="1:13" ht="80.400000000000006" customHeight="1">
      <c r="A190" s="50">
        <v>1</v>
      </c>
      <c r="B190" s="30" t="s">
        <v>355</v>
      </c>
      <c r="C190" s="27" t="s">
        <v>168</v>
      </c>
      <c r="D190" s="8">
        <f t="shared" si="31"/>
        <v>370</v>
      </c>
      <c r="E190" s="1"/>
      <c r="F190" s="1"/>
      <c r="G190" s="8">
        <v>370</v>
      </c>
      <c r="H190" s="1"/>
      <c r="I190" s="9">
        <f>SUM(J190:L190)</f>
        <v>0</v>
      </c>
      <c r="J190" s="1"/>
      <c r="K190" s="1"/>
      <c r="L190" s="6"/>
      <c r="M190" s="1"/>
    </row>
    <row r="191" spans="1:13" ht="58.2" customHeight="1">
      <c r="A191" s="50"/>
      <c r="B191" s="30" t="s">
        <v>356</v>
      </c>
      <c r="C191" s="27" t="s">
        <v>506</v>
      </c>
      <c r="D191" s="8">
        <f t="shared" si="31"/>
        <v>216.15355</v>
      </c>
      <c r="E191" s="1"/>
      <c r="F191" s="1"/>
      <c r="G191" s="8">
        <f>20+98+98.15355</f>
        <v>216.15355</v>
      </c>
      <c r="H191" s="1"/>
      <c r="I191" s="9">
        <f>SUM(J191:L191)</f>
        <v>216.15355</v>
      </c>
      <c r="J191" s="1"/>
      <c r="K191" s="1"/>
      <c r="L191" s="6">
        <f>20+98+98.15355</f>
        <v>216.15355</v>
      </c>
      <c r="M191" s="1"/>
    </row>
    <row r="192" spans="1:13" ht="81.599999999999994" customHeight="1">
      <c r="A192" s="50"/>
      <c r="B192" s="30" t="s">
        <v>357</v>
      </c>
      <c r="C192" s="27" t="s">
        <v>455</v>
      </c>
      <c r="D192" s="8">
        <f t="shared" ref="D192" si="32">SUM(E192:H192)</f>
        <v>528.04700000000003</v>
      </c>
      <c r="E192" s="1"/>
      <c r="F192" s="8"/>
      <c r="G192" s="8">
        <v>528.04700000000003</v>
      </c>
      <c r="H192" s="1"/>
      <c r="I192" s="9">
        <f>SUM(J192:L192)</f>
        <v>528.04700000000003</v>
      </c>
      <c r="J192" s="1"/>
      <c r="K192" s="1"/>
      <c r="L192" s="6">
        <v>528.04700000000003</v>
      </c>
      <c r="M192" s="1"/>
    </row>
    <row r="193" spans="1:13" ht="27.6">
      <c r="A193" s="50">
        <v>74</v>
      </c>
      <c r="B193" s="30" t="s">
        <v>358</v>
      </c>
      <c r="C193" s="27" t="s">
        <v>169</v>
      </c>
      <c r="D193" s="8">
        <f t="shared" si="31"/>
        <v>158</v>
      </c>
      <c r="E193" s="1"/>
      <c r="F193" s="1"/>
      <c r="G193" s="8">
        <v>158</v>
      </c>
      <c r="H193" s="1"/>
      <c r="I193" s="9">
        <f>SUM(J193:L193)</f>
        <v>158</v>
      </c>
      <c r="J193" s="1"/>
      <c r="K193" s="1"/>
      <c r="L193" s="47">
        <v>158</v>
      </c>
      <c r="M193" s="1"/>
    </row>
    <row r="194" spans="1:13" ht="41.4">
      <c r="A194" s="50">
        <v>7</v>
      </c>
      <c r="B194" s="30" t="s">
        <v>359</v>
      </c>
      <c r="C194" s="27" t="s">
        <v>170</v>
      </c>
      <c r="D194" s="8">
        <f t="shared" si="31"/>
        <v>245</v>
      </c>
      <c r="E194" s="1"/>
      <c r="F194" s="1"/>
      <c r="G194" s="8">
        <v>245</v>
      </c>
      <c r="H194" s="1"/>
      <c r="I194" s="9">
        <f>SUM(J194:L194)</f>
        <v>245</v>
      </c>
      <c r="J194" s="1"/>
      <c r="K194" s="1"/>
      <c r="L194" s="47">
        <v>245</v>
      </c>
      <c r="M194" s="1"/>
    </row>
    <row r="195" spans="1:13" ht="41.4">
      <c r="A195" s="50">
        <v>6</v>
      </c>
      <c r="B195" s="30" t="s">
        <v>360</v>
      </c>
      <c r="C195" s="27" t="s">
        <v>172</v>
      </c>
      <c r="D195" s="8">
        <f t="shared" si="31"/>
        <v>129</v>
      </c>
      <c r="E195" s="1"/>
      <c r="F195" s="1"/>
      <c r="G195" s="8">
        <v>129</v>
      </c>
      <c r="H195" s="1"/>
      <c r="I195" s="9">
        <f>SUM(J195:L195)</f>
        <v>129</v>
      </c>
      <c r="J195" s="1"/>
      <c r="K195" s="1"/>
      <c r="L195" s="47">
        <v>129</v>
      </c>
      <c r="M195" s="1"/>
    </row>
    <row r="196" spans="1:13" ht="57" customHeight="1">
      <c r="A196" s="50">
        <v>111</v>
      </c>
      <c r="B196" s="30" t="s">
        <v>361</v>
      </c>
      <c r="C196" s="27" t="s">
        <v>6</v>
      </c>
      <c r="D196" s="8">
        <f t="shared" si="31"/>
        <v>61.997</v>
      </c>
      <c r="E196" s="1"/>
      <c r="F196" s="1"/>
      <c r="G196" s="8">
        <v>61.997</v>
      </c>
      <c r="H196" s="1"/>
      <c r="I196" s="9">
        <f>SUM(J196:L196)</f>
        <v>61.997</v>
      </c>
      <c r="J196" s="1"/>
      <c r="K196" s="1"/>
      <c r="L196" s="47">
        <v>61.997</v>
      </c>
      <c r="M196" s="1"/>
    </row>
    <row r="197" spans="1:13" ht="47.4" customHeight="1">
      <c r="A197" s="50">
        <v>92</v>
      </c>
      <c r="B197" s="30" t="s">
        <v>362</v>
      </c>
      <c r="C197" s="27" t="s">
        <v>174</v>
      </c>
      <c r="D197" s="8">
        <f t="shared" si="31"/>
        <v>55</v>
      </c>
      <c r="E197" s="1"/>
      <c r="F197" s="1"/>
      <c r="G197" s="8">
        <v>55</v>
      </c>
      <c r="H197" s="1"/>
      <c r="I197" s="9">
        <f>SUM(J197:L197)</f>
        <v>55</v>
      </c>
      <c r="J197" s="1"/>
      <c r="K197" s="1"/>
      <c r="L197" s="47">
        <v>55</v>
      </c>
      <c r="M197" s="1"/>
    </row>
    <row r="198" spans="1:13">
      <c r="B198" s="30" t="s">
        <v>363</v>
      </c>
      <c r="C198" s="27" t="s">
        <v>536</v>
      </c>
      <c r="D198" s="8">
        <f t="shared" si="31"/>
        <v>33.11</v>
      </c>
      <c r="E198" s="1"/>
      <c r="F198" s="1"/>
      <c r="G198" s="8">
        <v>33.11</v>
      </c>
      <c r="H198" s="1"/>
      <c r="I198" s="9">
        <f>SUM(J198:L198)</f>
        <v>33.110999999999997</v>
      </c>
      <c r="J198" s="1"/>
      <c r="K198" s="1"/>
      <c r="L198" s="47">
        <v>33.110999999999997</v>
      </c>
      <c r="M198" s="1"/>
    </row>
    <row r="199" spans="1:13" ht="41.4">
      <c r="A199" s="50">
        <v>75</v>
      </c>
      <c r="B199" s="30" t="s">
        <v>364</v>
      </c>
      <c r="C199" s="27" t="s">
        <v>175</v>
      </c>
      <c r="D199" s="8">
        <f t="shared" si="31"/>
        <v>134.80000000000001</v>
      </c>
      <c r="E199" s="1"/>
      <c r="F199" s="1"/>
      <c r="G199" s="8">
        <v>134.80000000000001</v>
      </c>
      <c r="H199" s="1"/>
      <c r="I199" s="9">
        <f>SUM(J199:L199)</f>
        <v>134.80000000000001</v>
      </c>
      <c r="J199" s="1"/>
      <c r="K199" s="1"/>
      <c r="L199" s="6">
        <v>134.80000000000001</v>
      </c>
      <c r="M199" s="1"/>
    </row>
    <row r="200" spans="1:13">
      <c r="B200" s="30" t="s">
        <v>365</v>
      </c>
      <c r="C200" s="27" t="s">
        <v>537</v>
      </c>
      <c r="D200" s="8">
        <f t="shared" si="31"/>
        <v>92.53</v>
      </c>
      <c r="E200" s="1"/>
      <c r="F200" s="8"/>
      <c r="G200" s="1">
        <v>92.53</v>
      </c>
      <c r="H200" s="1"/>
      <c r="I200" s="9">
        <f>SUM(J200:L200)</f>
        <v>92.53</v>
      </c>
      <c r="J200" s="1"/>
      <c r="K200" s="1"/>
      <c r="L200" s="6">
        <v>92.53</v>
      </c>
      <c r="M200" s="1"/>
    </row>
    <row r="201" spans="1:13" ht="46.2" customHeight="1">
      <c r="A201" s="50">
        <v>128</v>
      </c>
      <c r="B201" s="30" t="s">
        <v>366</v>
      </c>
      <c r="C201" s="27" t="s">
        <v>176</v>
      </c>
      <c r="D201" s="8">
        <f t="shared" si="31"/>
        <v>187</v>
      </c>
      <c r="E201" s="1"/>
      <c r="F201" s="8"/>
      <c r="G201" s="8">
        <v>187</v>
      </c>
      <c r="H201" s="1"/>
      <c r="I201" s="9">
        <f>SUM(J201:L201)</f>
        <v>187</v>
      </c>
      <c r="J201" s="1"/>
      <c r="K201" s="1"/>
      <c r="L201" s="47">
        <v>187</v>
      </c>
      <c r="M201" s="1"/>
    </row>
    <row r="202" spans="1:13" ht="43.95" customHeight="1">
      <c r="A202" s="50">
        <v>129</v>
      </c>
      <c r="B202" s="30" t="s">
        <v>367</v>
      </c>
      <c r="C202" s="27" t="s">
        <v>177</v>
      </c>
      <c r="D202" s="8">
        <f t="shared" si="31"/>
        <v>499.245</v>
      </c>
      <c r="E202" s="1"/>
      <c r="F202" s="8"/>
      <c r="G202" s="8">
        <v>499.245</v>
      </c>
      <c r="H202" s="1"/>
      <c r="I202" s="9"/>
      <c r="J202" s="1"/>
      <c r="K202" s="1"/>
      <c r="L202" s="6"/>
      <c r="M202" s="1"/>
    </row>
    <row r="203" spans="1:13" ht="30.6" customHeight="1">
      <c r="A203" s="50">
        <v>105</v>
      </c>
      <c r="B203" s="30" t="s">
        <v>368</v>
      </c>
      <c r="C203" s="27" t="s">
        <v>178</v>
      </c>
      <c r="D203" s="8">
        <f t="shared" si="31"/>
        <v>280</v>
      </c>
      <c r="E203" s="1"/>
      <c r="F203" s="8"/>
      <c r="G203" s="8">
        <v>280</v>
      </c>
      <c r="H203" s="1"/>
      <c r="I203" s="9">
        <f>SUM(J203:L203)</f>
        <v>280</v>
      </c>
      <c r="J203" s="1"/>
      <c r="K203" s="1"/>
      <c r="L203" s="47">
        <v>280</v>
      </c>
      <c r="M203" s="1"/>
    </row>
    <row r="204" spans="1:13" ht="48.6" customHeight="1">
      <c r="A204" s="50">
        <v>137</v>
      </c>
      <c r="B204" s="30" t="s">
        <v>369</v>
      </c>
      <c r="C204" s="27" t="s">
        <v>179</v>
      </c>
      <c r="D204" s="11">
        <f t="shared" si="31"/>
        <v>1137</v>
      </c>
      <c r="E204" s="1"/>
      <c r="F204" s="8"/>
      <c r="G204" s="11">
        <v>1137</v>
      </c>
      <c r="H204" s="1"/>
      <c r="I204" s="9"/>
      <c r="J204" s="1"/>
      <c r="K204" s="1"/>
      <c r="L204" s="6"/>
      <c r="M204" s="1"/>
    </row>
    <row r="205" spans="1:13" ht="31.2" customHeight="1">
      <c r="A205" s="50">
        <v>112</v>
      </c>
      <c r="B205" s="30" t="s">
        <v>370</v>
      </c>
      <c r="C205" s="27" t="s">
        <v>181</v>
      </c>
      <c r="D205" s="8">
        <f t="shared" si="31"/>
        <v>52.838999999999999</v>
      </c>
      <c r="E205" s="1"/>
      <c r="F205" s="8"/>
      <c r="G205" s="8">
        <v>52.838999999999999</v>
      </c>
      <c r="H205" s="1"/>
      <c r="I205" s="9"/>
      <c r="J205" s="1"/>
      <c r="K205" s="1"/>
      <c r="L205" s="6"/>
      <c r="M205" s="1"/>
    </row>
    <row r="206" spans="1:13" ht="41.4">
      <c r="A206" s="50">
        <v>114</v>
      </c>
      <c r="B206" s="30" t="s">
        <v>371</v>
      </c>
      <c r="C206" s="27" t="s">
        <v>182</v>
      </c>
      <c r="D206" s="8">
        <f t="shared" si="31"/>
        <v>366.97388999999998</v>
      </c>
      <c r="E206" s="1"/>
      <c r="F206" s="8"/>
      <c r="G206" s="8">
        <f>337.46-6.314+18.149+1.76722+5.30167+10.61</f>
        <v>366.97388999999998</v>
      </c>
      <c r="H206" s="1"/>
      <c r="I206" s="9">
        <f>SUM(J206:L206)</f>
        <v>356.36389000000003</v>
      </c>
      <c r="J206" s="1"/>
      <c r="K206" s="1"/>
      <c r="L206" s="47">
        <f>331.146+18.149+1.76722+5.30167</f>
        <v>356.36389000000003</v>
      </c>
      <c r="M206" s="1"/>
    </row>
    <row r="207" spans="1:13" ht="48" customHeight="1">
      <c r="A207" s="50">
        <v>122</v>
      </c>
      <c r="B207" s="30" t="s">
        <v>372</v>
      </c>
      <c r="C207" s="27" t="s">
        <v>183</v>
      </c>
      <c r="D207" s="8">
        <f t="shared" si="31"/>
        <v>361.27100000000002</v>
      </c>
      <c r="E207" s="1"/>
      <c r="F207" s="8"/>
      <c r="G207" s="8">
        <f>361.271</f>
        <v>361.27100000000002</v>
      </c>
      <c r="H207" s="1"/>
      <c r="I207" s="9">
        <f>SUM(J207:L207)</f>
        <v>357.34217999999998</v>
      </c>
      <c r="J207" s="1"/>
      <c r="K207" s="1"/>
      <c r="L207" s="6">
        <v>357.34217999999998</v>
      </c>
      <c r="M207" s="1"/>
    </row>
    <row r="208" spans="1:13" ht="55.2">
      <c r="A208" s="50">
        <v>113</v>
      </c>
      <c r="B208" s="30" t="s">
        <v>373</v>
      </c>
      <c r="C208" s="27" t="s">
        <v>184</v>
      </c>
      <c r="D208" s="8">
        <f t="shared" si="31"/>
        <v>14</v>
      </c>
      <c r="E208" s="1"/>
      <c r="F208" s="8"/>
      <c r="G208" s="8">
        <v>14</v>
      </c>
      <c r="H208" s="1"/>
      <c r="I208" s="9">
        <f>SUM(J208:L208)</f>
        <v>14</v>
      </c>
      <c r="J208" s="1"/>
      <c r="K208" s="1"/>
      <c r="L208" s="47">
        <v>14</v>
      </c>
      <c r="M208" s="1"/>
    </row>
    <row r="209" spans="1:13" ht="41.4">
      <c r="B209" s="30" t="s">
        <v>374</v>
      </c>
      <c r="C209" s="27" t="s">
        <v>439</v>
      </c>
      <c r="D209" s="8">
        <f t="shared" si="31"/>
        <v>205.90199999999999</v>
      </c>
      <c r="E209" s="1"/>
      <c r="F209" s="8"/>
      <c r="G209" s="8">
        <v>205.90199999999999</v>
      </c>
      <c r="H209" s="1"/>
      <c r="I209" s="9">
        <f>SUM(J209:L209)</f>
        <v>205.90199999999999</v>
      </c>
      <c r="J209" s="1"/>
      <c r="K209" s="1"/>
      <c r="L209" s="6">
        <v>205.90199999999999</v>
      </c>
      <c r="M209" s="1"/>
    </row>
    <row r="210" spans="1:13" ht="55.2">
      <c r="A210" s="50">
        <v>55</v>
      </c>
      <c r="B210" s="30" t="s">
        <v>375</v>
      </c>
      <c r="C210" s="27" t="s">
        <v>185</v>
      </c>
      <c r="D210" s="8">
        <f t="shared" si="31"/>
        <v>129</v>
      </c>
      <c r="E210" s="1"/>
      <c r="F210" s="8"/>
      <c r="G210" s="8">
        <f>129</f>
        <v>129</v>
      </c>
      <c r="H210" s="1"/>
      <c r="I210" s="9">
        <f>SUM(J210:L210)</f>
        <v>127.44125</v>
      </c>
      <c r="J210" s="1"/>
      <c r="K210" s="1"/>
      <c r="L210" s="47">
        <v>127.44125</v>
      </c>
      <c r="M210" s="1"/>
    </row>
    <row r="211" spans="1:13" ht="49.2" customHeight="1">
      <c r="A211" s="50">
        <v>133</v>
      </c>
      <c r="B211" s="30" t="s">
        <v>376</v>
      </c>
      <c r="C211" s="27" t="s">
        <v>186</v>
      </c>
      <c r="D211" s="8">
        <f t="shared" si="31"/>
        <v>16</v>
      </c>
      <c r="E211" s="1"/>
      <c r="F211" s="8"/>
      <c r="G211" s="8">
        <v>16</v>
      </c>
      <c r="H211" s="1"/>
      <c r="I211" s="9">
        <f>SUM(J211:L211)</f>
        <v>16</v>
      </c>
      <c r="J211" s="1"/>
      <c r="K211" s="1"/>
      <c r="L211" s="47">
        <v>16</v>
      </c>
      <c r="M211" s="1"/>
    </row>
    <row r="212" spans="1:13" ht="57.6" customHeight="1">
      <c r="B212" s="30" t="s">
        <v>377</v>
      </c>
      <c r="C212" s="27" t="s">
        <v>440</v>
      </c>
      <c r="D212" s="8">
        <f t="shared" si="31"/>
        <v>8.5220000000000002</v>
      </c>
      <c r="E212" s="1"/>
      <c r="F212" s="8"/>
      <c r="G212" s="8">
        <f>0.852+7.67</f>
        <v>8.5220000000000002</v>
      </c>
      <c r="H212" s="1"/>
      <c r="I212" s="9">
        <f>SUM(J212:L212)</f>
        <v>0.85207999999999995</v>
      </c>
      <c r="J212" s="1"/>
      <c r="K212" s="1"/>
      <c r="L212" s="47">
        <v>0.85207999999999995</v>
      </c>
      <c r="M212" s="1"/>
    </row>
    <row r="213" spans="1:13" ht="73.95" customHeight="1">
      <c r="B213" s="30" t="s">
        <v>378</v>
      </c>
      <c r="C213" s="27" t="s">
        <v>15</v>
      </c>
      <c r="D213" s="8">
        <f t="shared" si="31"/>
        <v>239.29300000000001</v>
      </c>
      <c r="E213" s="1"/>
      <c r="F213" s="8"/>
      <c r="G213" s="8">
        <v>239.29300000000001</v>
      </c>
      <c r="H213" s="1"/>
      <c r="I213" s="9">
        <f>SUM(J213:L213)</f>
        <v>239.29307</v>
      </c>
      <c r="J213" s="1"/>
      <c r="K213" s="1"/>
      <c r="L213" s="47">
        <f>98.93+42.75707+97.606</f>
        <v>239.29307</v>
      </c>
      <c r="M213" s="1"/>
    </row>
    <row r="214" spans="1:13" ht="45" customHeight="1">
      <c r="B214" s="30" t="s">
        <v>379</v>
      </c>
      <c r="C214" s="27" t="s">
        <v>17</v>
      </c>
      <c r="D214" s="8">
        <f t="shared" si="31"/>
        <v>19.989999999999998</v>
      </c>
      <c r="E214" s="1"/>
      <c r="F214" s="8"/>
      <c r="G214" s="8">
        <v>19.989999999999998</v>
      </c>
      <c r="H214" s="1"/>
      <c r="I214" s="9">
        <f>SUM(J214:L214)</f>
        <v>19.989999999999998</v>
      </c>
      <c r="J214" s="1"/>
      <c r="K214" s="1"/>
      <c r="L214" s="6">
        <v>19.989999999999998</v>
      </c>
      <c r="M214" s="1"/>
    </row>
    <row r="215" spans="1:13" ht="33" customHeight="1">
      <c r="B215" s="30" t="s">
        <v>380</v>
      </c>
      <c r="C215" s="27" t="s">
        <v>538</v>
      </c>
      <c r="D215" s="8">
        <f t="shared" si="31"/>
        <v>86.568889999999996</v>
      </c>
      <c r="E215" s="1"/>
      <c r="F215" s="8"/>
      <c r="G215" s="8">
        <f>24.9+44+1.76722+5.30167+10.6</f>
        <v>86.568889999999996</v>
      </c>
      <c r="H215" s="1"/>
      <c r="I215" s="9">
        <f>SUM(J215:L215)</f>
        <v>75.968890000000002</v>
      </c>
      <c r="J215" s="1"/>
      <c r="K215" s="1"/>
      <c r="L215" s="47">
        <f>24.9+44+1.76722+5.30167</f>
        <v>75.968890000000002</v>
      </c>
      <c r="M215" s="1"/>
    </row>
    <row r="216" spans="1:13" ht="46.2" customHeight="1">
      <c r="A216" s="50">
        <v>140</v>
      </c>
      <c r="B216" s="30" t="s">
        <v>381</v>
      </c>
      <c r="C216" s="27" t="s">
        <v>188</v>
      </c>
      <c r="D216" s="8">
        <f t="shared" si="31"/>
        <v>35.799999999999997</v>
      </c>
      <c r="E216" s="1"/>
      <c r="F216" s="8"/>
      <c r="G216" s="8">
        <v>35.799999999999997</v>
      </c>
      <c r="H216" s="1"/>
      <c r="I216" s="9">
        <f>SUM(J216:L216)</f>
        <v>35.799999999999997</v>
      </c>
      <c r="J216" s="1"/>
      <c r="K216" s="1"/>
      <c r="L216" s="6">
        <v>35.799999999999997</v>
      </c>
      <c r="M216" s="1"/>
    </row>
    <row r="217" spans="1:13" ht="96" customHeight="1">
      <c r="A217" s="50" t="s">
        <v>437</v>
      </c>
      <c r="B217" s="30" t="s">
        <v>382</v>
      </c>
      <c r="C217" s="27" t="s">
        <v>189</v>
      </c>
      <c r="D217" s="8">
        <f t="shared" si="31"/>
        <v>128.15700000000001</v>
      </c>
      <c r="E217" s="1"/>
      <c r="F217" s="8"/>
      <c r="G217" s="8">
        <v>128.15700000000001</v>
      </c>
      <c r="H217" s="1"/>
      <c r="I217" s="9"/>
      <c r="J217" s="1"/>
      <c r="K217" s="1"/>
      <c r="L217" s="6"/>
      <c r="M217" s="1"/>
    </row>
    <row r="218" spans="1:13" ht="85.8" customHeight="1">
      <c r="B218" s="30" t="s">
        <v>383</v>
      </c>
      <c r="C218" s="27" t="s">
        <v>451</v>
      </c>
      <c r="D218" s="8">
        <f t="shared" si="31"/>
        <v>679.39599999999996</v>
      </c>
      <c r="E218" s="1"/>
      <c r="F218" s="8"/>
      <c r="G218" s="8">
        <f>569.396+110</f>
        <v>679.39599999999996</v>
      </c>
      <c r="H218" s="1"/>
      <c r="I218" s="9">
        <f>SUM(J218:L218)</f>
        <v>679.39694999999995</v>
      </c>
      <c r="J218" s="1"/>
      <c r="K218" s="1"/>
      <c r="L218" s="47">
        <f>569.39695+50+60</f>
        <v>679.39694999999995</v>
      </c>
      <c r="M218" s="1"/>
    </row>
    <row r="219" spans="1:13" ht="57.6" customHeight="1">
      <c r="A219" s="50">
        <v>162</v>
      </c>
      <c r="B219" s="30" t="s">
        <v>384</v>
      </c>
      <c r="C219" s="27" t="s">
        <v>190</v>
      </c>
      <c r="D219" s="8">
        <f t="shared" si="31"/>
        <v>443.024</v>
      </c>
      <c r="E219" s="1"/>
      <c r="F219" s="8"/>
      <c r="G219" s="8">
        <v>443.024</v>
      </c>
      <c r="H219" s="1"/>
      <c r="I219" s="1"/>
      <c r="J219" s="1"/>
      <c r="K219" s="1"/>
      <c r="L219" s="6"/>
      <c r="M219" s="1"/>
    </row>
    <row r="220" spans="1:13" ht="50.4" customHeight="1">
      <c r="B220" s="30" t="s">
        <v>385</v>
      </c>
      <c r="C220" s="27" t="s">
        <v>539</v>
      </c>
      <c r="D220" s="8">
        <f t="shared" si="31"/>
        <v>99.495000000000005</v>
      </c>
      <c r="E220" s="1"/>
      <c r="F220" s="8"/>
      <c r="G220" s="8">
        <f>99.375+0.12</f>
        <v>99.495000000000005</v>
      </c>
      <c r="H220" s="1"/>
      <c r="I220" s="9">
        <f>SUM(J220:L220)</f>
        <v>99.375619999999998</v>
      </c>
      <c r="J220" s="1"/>
      <c r="K220" s="1"/>
      <c r="L220" s="47">
        <v>99.375619999999998</v>
      </c>
      <c r="M220" s="1"/>
    </row>
    <row r="221" spans="1:13" ht="92.4" customHeight="1">
      <c r="B221" s="30" t="s">
        <v>386</v>
      </c>
      <c r="C221" s="27" t="s">
        <v>191</v>
      </c>
      <c r="D221" s="8">
        <f t="shared" si="31"/>
        <v>27.5</v>
      </c>
      <c r="E221" s="1"/>
      <c r="F221" s="8"/>
      <c r="G221" s="8">
        <v>27.5</v>
      </c>
      <c r="H221" s="1"/>
      <c r="I221" s="9"/>
      <c r="J221" s="1"/>
      <c r="K221" s="1"/>
      <c r="L221" s="6"/>
      <c r="M221" s="1"/>
    </row>
    <row r="222" spans="1:13" ht="74.400000000000006" customHeight="1">
      <c r="A222" s="50" t="s">
        <v>437</v>
      </c>
      <c r="B222" s="30" t="s">
        <v>387</v>
      </c>
      <c r="C222" s="27" t="s">
        <v>210</v>
      </c>
      <c r="D222" s="11">
        <f t="shared" si="31"/>
        <v>3730</v>
      </c>
      <c r="E222" s="1"/>
      <c r="F222" s="8"/>
      <c r="G222" s="11">
        <v>3730</v>
      </c>
      <c r="H222" s="1"/>
      <c r="I222" s="44">
        <f>SUM(J222:L222)</f>
        <v>1119</v>
      </c>
      <c r="J222" s="1"/>
      <c r="K222" s="1"/>
      <c r="L222" s="46">
        <v>1119</v>
      </c>
      <c r="M222" s="1"/>
    </row>
    <row r="223" spans="1:13" ht="45.6" customHeight="1">
      <c r="A223" s="52"/>
      <c r="B223" s="30" t="s">
        <v>388</v>
      </c>
      <c r="C223" s="27" t="s">
        <v>211</v>
      </c>
      <c r="D223" s="11">
        <f t="shared" si="31"/>
        <v>1000</v>
      </c>
      <c r="E223" s="1"/>
      <c r="F223" s="8"/>
      <c r="G223" s="11">
        <v>1000</v>
      </c>
      <c r="H223" s="1"/>
      <c r="I223" s="44">
        <f>SUM(J223:L223)</f>
        <v>1000</v>
      </c>
      <c r="J223" s="1"/>
      <c r="K223" s="1"/>
      <c r="L223" s="46">
        <v>1000</v>
      </c>
      <c r="M223" s="1"/>
    </row>
    <row r="224" spans="1:13" ht="57.6" customHeight="1">
      <c r="A224" s="50">
        <v>138</v>
      </c>
      <c r="B224" s="30" t="s">
        <v>389</v>
      </c>
      <c r="C224" s="27" t="s">
        <v>200</v>
      </c>
      <c r="D224" s="11">
        <f t="shared" si="31"/>
        <v>1489.77</v>
      </c>
      <c r="E224" s="1"/>
      <c r="F224" s="11"/>
      <c r="G224" s="11">
        <v>1489.77</v>
      </c>
      <c r="H224" s="1"/>
      <c r="I224" s="9">
        <f>SUM(J224:L224)</f>
        <v>0</v>
      </c>
      <c r="J224" s="1"/>
      <c r="K224" s="1"/>
      <c r="L224" s="6"/>
      <c r="M224" s="1"/>
    </row>
    <row r="225" spans="1:13" ht="57" customHeight="1">
      <c r="A225" s="50">
        <v>147</v>
      </c>
      <c r="B225" s="30" t="s">
        <v>390</v>
      </c>
      <c r="C225" s="27" t="s">
        <v>202</v>
      </c>
      <c r="D225" s="8">
        <f t="shared" si="31"/>
        <v>231</v>
      </c>
      <c r="E225" s="1"/>
      <c r="F225" s="8"/>
      <c r="G225" s="8">
        <v>231</v>
      </c>
      <c r="H225" s="1"/>
      <c r="I225" s="9">
        <f>SUM(J225:L225)</f>
        <v>231</v>
      </c>
      <c r="J225" s="1"/>
      <c r="K225" s="1"/>
      <c r="L225" s="47">
        <v>231</v>
      </c>
      <c r="M225" s="1"/>
    </row>
    <row r="226" spans="1:13" ht="48.6" customHeight="1">
      <c r="A226" s="50">
        <v>146</v>
      </c>
      <c r="B226" s="30" t="s">
        <v>391</v>
      </c>
      <c r="C226" s="27" t="s">
        <v>203</v>
      </c>
      <c r="D226" s="8">
        <f t="shared" si="31"/>
        <v>270.79599999999999</v>
      </c>
      <c r="E226" s="1"/>
      <c r="F226" s="8"/>
      <c r="G226" s="8">
        <v>270.79599999999999</v>
      </c>
      <c r="H226" s="1"/>
      <c r="I226" s="9">
        <f>SUM(J226:L226)</f>
        <v>0</v>
      </c>
      <c r="J226" s="1"/>
      <c r="K226" s="1"/>
      <c r="L226" s="6"/>
      <c r="M226" s="1"/>
    </row>
    <row r="227" spans="1:13" ht="28.95" customHeight="1">
      <c r="B227" s="30" t="s">
        <v>472</v>
      </c>
      <c r="C227" s="27" t="s">
        <v>428</v>
      </c>
      <c r="D227" s="8">
        <f t="shared" si="31"/>
        <v>21</v>
      </c>
      <c r="E227" s="1"/>
      <c r="F227" s="8"/>
      <c r="G227" s="8">
        <v>21</v>
      </c>
      <c r="H227" s="1"/>
      <c r="I227" s="9">
        <f>SUM(J227:L227)</f>
        <v>21</v>
      </c>
      <c r="J227" s="6"/>
      <c r="K227" s="6"/>
      <c r="L227" s="6">
        <v>21</v>
      </c>
      <c r="M227" s="1"/>
    </row>
    <row r="228" spans="1:13" ht="47.4" customHeight="1">
      <c r="B228" s="30" t="s">
        <v>392</v>
      </c>
      <c r="C228" s="27" t="s">
        <v>441</v>
      </c>
      <c r="D228" s="8">
        <f t="shared" si="31"/>
        <v>75.13</v>
      </c>
      <c r="E228" s="1"/>
      <c r="F228" s="8"/>
      <c r="G228" s="8">
        <v>75.13</v>
      </c>
      <c r="H228" s="1"/>
      <c r="I228" s="9">
        <f>SUM(J228:L228)</f>
        <v>75.134</v>
      </c>
      <c r="J228" s="6"/>
      <c r="K228" s="6"/>
      <c r="L228" s="47">
        <v>75.134</v>
      </c>
      <c r="M228" s="1"/>
    </row>
    <row r="229" spans="1:13" ht="30.6" customHeight="1">
      <c r="B229" s="30" t="s">
        <v>473</v>
      </c>
      <c r="C229" s="27" t="s">
        <v>540</v>
      </c>
      <c r="D229" s="8">
        <f t="shared" si="31"/>
        <v>7.55</v>
      </c>
      <c r="E229" s="1"/>
      <c r="F229" s="8"/>
      <c r="G229" s="8">
        <v>7.55</v>
      </c>
      <c r="H229" s="1"/>
      <c r="I229" s="9">
        <f>SUM(J229:L229)</f>
        <v>7.55</v>
      </c>
      <c r="J229" s="6"/>
      <c r="K229" s="6"/>
      <c r="L229" s="6">
        <v>7.55</v>
      </c>
      <c r="M229" s="1"/>
    </row>
    <row r="230" spans="1:13" ht="52.8" customHeight="1">
      <c r="B230" s="30" t="s">
        <v>393</v>
      </c>
      <c r="C230" s="27" t="s">
        <v>446</v>
      </c>
      <c r="D230" s="8">
        <f t="shared" si="31"/>
        <v>330</v>
      </c>
      <c r="E230" s="1"/>
      <c r="F230" s="8"/>
      <c r="G230" s="8">
        <v>330</v>
      </c>
      <c r="H230" s="1"/>
      <c r="I230" s="9">
        <f>SUM(J230:L230)</f>
        <v>0</v>
      </c>
      <c r="J230" s="6"/>
      <c r="K230" s="6"/>
      <c r="L230" s="6"/>
      <c r="M230" s="6"/>
    </row>
    <row r="231" spans="1:13" ht="30.6" customHeight="1">
      <c r="B231" s="30" t="s">
        <v>394</v>
      </c>
      <c r="C231" s="27" t="s">
        <v>447</v>
      </c>
      <c r="D231" s="8">
        <f t="shared" si="31"/>
        <v>275</v>
      </c>
      <c r="E231" s="1"/>
      <c r="F231" s="8"/>
      <c r="G231" s="8">
        <f>468-193</f>
        <v>275</v>
      </c>
      <c r="H231" s="1"/>
      <c r="I231" s="9">
        <f>SUM(J231:L231)</f>
        <v>275</v>
      </c>
      <c r="J231" s="6"/>
      <c r="K231" s="6"/>
      <c r="L231" s="6">
        <v>275</v>
      </c>
      <c r="M231" s="6"/>
    </row>
    <row r="232" spans="1:13" ht="48" customHeight="1">
      <c r="B232" s="30" t="s">
        <v>474</v>
      </c>
      <c r="C232" s="27" t="s">
        <v>541</v>
      </c>
      <c r="D232" s="8">
        <f t="shared" ref="D232" si="33">SUM(E232:H232)</f>
        <v>6139.7059999999992</v>
      </c>
      <c r="E232" s="1"/>
      <c r="F232" s="8"/>
      <c r="G232" s="11">
        <f>6190.726-51.02</f>
        <v>6139.7059999999992</v>
      </c>
      <c r="H232" s="1"/>
      <c r="I232" s="9"/>
      <c r="J232" s="6"/>
      <c r="K232" s="6"/>
      <c r="L232" s="6"/>
      <c r="M232" s="6"/>
    </row>
    <row r="233" spans="1:13" ht="51.6" customHeight="1">
      <c r="B233" s="30" t="s">
        <v>429</v>
      </c>
      <c r="C233" s="27" t="s">
        <v>449</v>
      </c>
      <c r="D233" s="8">
        <f t="shared" si="31"/>
        <v>49.298999999999999</v>
      </c>
      <c r="E233" s="1"/>
      <c r="F233" s="8"/>
      <c r="G233" s="8">
        <v>49.298999999999999</v>
      </c>
      <c r="H233" s="1"/>
      <c r="I233" s="9">
        <f>SUM(J233:L233)</f>
        <v>0</v>
      </c>
      <c r="J233" s="6"/>
      <c r="K233" s="6"/>
      <c r="L233" s="6"/>
      <c r="M233" s="1"/>
    </row>
    <row r="234" spans="1:13" ht="39.6" customHeight="1">
      <c r="B234" s="30" t="s">
        <v>430</v>
      </c>
      <c r="C234" s="27" t="s">
        <v>454</v>
      </c>
      <c r="D234" s="8">
        <f t="shared" si="31"/>
        <v>107.00019</v>
      </c>
      <c r="E234" s="1"/>
      <c r="F234" s="8"/>
      <c r="G234" s="8">
        <f>96.32019+10.68</f>
        <v>107.00019</v>
      </c>
      <c r="H234" s="1"/>
      <c r="I234" s="9">
        <f>SUM(J234:L234)</f>
        <v>96.320189999999997</v>
      </c>
      <c r="J234" s="6"/>
      <c r="K234" s="6"/>
      <c r="L234" s="6">
        <v>96.320189999999997</v>
      </c>
      <c r="M234" s="5"/>
    </row>
    <row r="235" spans="1:13" ht="43.8" customHeight="1">
      <c r="B235" s="30" t="s">
        <v>431</v>
      </c>
      <c r="C235" s="27" t="s">
        <v>456</v>
      </c>
      <c r="D235" s="8">
        <f t="shared" si="31"/>
        <v>383</v>
      </c>
      <c r="E235" s="1"/>
      <c r="F235" s="8"/>
      <c r="G235" s="8">
        <v>383</v>
      </c>
      <c r="H235" s="1"/>
      <c r="I235" s="9">
        <f>SUM(J235:L235)</f>
        <v>0</v>
      </c>
      <c r="J235" s="6"/>
      <c r="K235" s="6"/>
      <c r="L235" s="6"/>
      <c r="M235" s="5"/>
    </row>
    <row r="236" spans="1:13" ht="43.8" customHeight="1">
      <c r="B236" s="30" t="s">
        <v>514</v>
      </c>
      <c r="C236" s="27" t="s">
        <v>513</v>
      </c>
      <c r="D236" s="8">
        <f t="shared" si="31"/>
        <v>45.6</v>
      </c>
      <c r="E236" s="1"/>
      <c r="F236" s="8"/>
      <c r="G236" s="8">
        <v>45.6</v>
      </c>
      <c r="H236" s="1"/>
      <c r="I236" s="9">
        <f>SUM(J236:L236)</f>
        <v>0</v>
      </c>
      <c r="J236" s="6"/>
      <c r="K236" s="6"/>
      <c r="L236" s="6"/>
      <c r="M236" s="5"/>
    </row>
    <row r="237" spans="1:13" ht="43.8" customHeight="1">
      <c r="B237" s="30" t="s">
        <v>515</v>
      </c>
      <c r="C237" s="27" t="s">
        <v>516</v>
      </c>
      <c r="D237" s="8">
        <f t="shared" si="31"/>
        <v>199.11699999999999</v>
      </c>
      <c r="E237" s="1"/>
      <c r="F237" s="8"/>
      <c r="G237" s="35">
        <v>199.11699999999999</v>
      </c>
      <c r="H237" s="1"/>
      <c r="I237" s="9">
        <f>SUM(J237:L237)</f>
        <v>0</v>
      </c>
      <c r="J237" s="6"/>
      <c r="K237" s="6"/>
      <c r="L237" s="6"/>
      <c r="M237" s="5"/>
    </row>
    <row r="238" spans="1:13" ht="43.8" customHeight="1">
      <c r="B238" s="30" t="s">
        <v>517</v>
      </c>
      <c r="C238" s="27" t="s">
        <v>518</v>
      </c>
      <c r="D238" s="8">
        <f t="shared" si="31"/>
        <v>80.165000000000006</v>
      </c>
      <c r="E238" s="1"/>
      <c r="F238" s="8"/>
      <c r="G238" s="8">
        <v>80.165000000000006</v>
      </c>
      <c r="H238" s="1"/>
      <c r="I238" s="9">
        <f>SUM(J238:L238)</f>
        <v>0</v>
      </c>
      <c r="J238" s="6"/>
      <c r="K238" s="6"/>
      <c r="L238" s="6"/>
      <c r="M238" s="5"/>
    </row>
    <row r="239" spans="1:13" ht="43.8" customHeight="1">
      <c r="B239" s="30" t="s">
        <v>520</v>
      </c>
      <c r="C239" s="27" t="s">
        <v>519</v>
      </c>
      <c r="D239" s="8">
        <f t="shared" si="31"/>
        <v>156.029</v>
      </c>
      <c r="E239" s="1"/>
      <c r="F239" s="8"/>
      <c r="G239" s="8">
        <v>156.029</v>
      </c>
      <c r="H239" s="1"/>
      <c r="I239" s="9">
        <f>SUM(J239:L239)</f>
        <v>0</v>
      </c>
      <c r="J239" s="6"/>
      <c r="K239" s="6"/>
      <c r="L239" s="6"/>
      <c r="M239" s="5"/>
    </row>
    <row r="240" spans="1:13" ht="43.8" customHeight="1">
      <c r="B240" s="30" t="s">
        <v>527</v>
      </c>
      <c r="C240" s="27" t="s">
        <v>521</v>
      </c>
      <c r="D240" s="8">
        <f t="shared" si="31"/>
        <v>499.60599999999999</v>
      </c>
      <c r="E240" s="1"/>
      <c r="F240" s="8"/>
      <c r="G240" s="8">
        <v>499.60599999999999</v>
      </c>
      <c r="H240" s="1"/>
      <c r="I240" s="9">
        <f>SUM(J240:L240)</f>
        <v>0</v>
      </c>
      <c r="J240" s="6"/>
      <c r="K240" s="6"/>
      <c r="L240" s="6"/>
      <c r="M240" s="5"/>
    </row>
    <row r="241" spans="1:14" ht="43.8" customHeight="1">
      <c r="B241" s="30" t="s">
        <v>529</v>
      </c>
      <c r="C241" s="27" t="s">
        <v>522</v>
      </c>
      <c r="D241" s="8">
        <f t="shared" si="31"/>
        <v>113.47499999999999</v>
      </c>
      <c r="E241" s="1"/>
      <c r="F241" s="8"/>
      <c r="G241" s="8">
        <v>113.47499999999999</v>
      </c>
      <c r="H241" s="1"/>
      <c r="I241" s="9">
        <f>SUM(J241:L241)</f>
        <v>0</v>
      </c>
      <c r="J241" s="6"/>
      <c r="K241" s="6"/>
      <c r="L241" s="6"/>
      <c r="M241" s="5"/>
    </row>
    <row r="242" spans="1:14" ht="43.8" customHeight="1">
      <c r="B242" s="30" t="s">
        <v>530</v>
      </c>
      <c r="C242" s="27" t="s">
        <v>528</v>
      </c>
      <c r="D242" s="8">
        <f t="shared" si="31"/>
        <v>99.76</v>
      </c>
      <c r="E242" s="1"/>
      <c r="F242" s="8"/>
      <c r="G242" s="8">
        <v>99.76</v>
      </c>
      <c r="H242" s="1"/>
      <c r="I242" s="9">
        <f>SUM(J242:L242)</f>
        <v>0</v>
      </c>
      <c r="J242" s="6"/>
      <c r="K242" s="6"/>
      <c r="L242" s="6"/>
      <c r="M242" s="5"/>
    </row>
    <row r="243" spans="1:14" ht="43.8" customHeight="1">
      <c r="B243" s="30" t="s">
        <v>531</v>
      </c>
      <c r="C243" s="27" t="s">
        <v>452</v>
      </c>
      <c r="D243" s="8">
        <f t="shared" si="31"/>
        <v>91.453860000000006</v>
      </c>
      <c r="E243" s="1"/>
      <c r="F243" s="8"/>
      <c r="G243" s="8">
        <v>91.453860000000006</v>
      </c>
      <c r="H243" s="1"/>
      <c r="I243" s="9">
        <f>SUM(J243:L243)</f>
        <v>91.453860000000006</v>
      </c>
      <c r="J243" s="6"/>
      <c r="K243" s="6"/>
      <c r="L243" s="6">
        <v>91.453860000000006</v>
      </c>
      <c r="M243" s="5"/>
    </row>
    <row r="244" spans="1:14" ht="17.399999999999999" customHeight="1">
      <c r="B244" s="23"/>
      <c r="C244" s="23" t="s">
        <v>420</v>
      </c>
      <c r="D244" s="24">
        <f>SUM(E244:H244)</f>
        <v>51549.420209999989</v>
      </c>
      <c r="E244" s="24">
        <f>SUM(E162:E243)</f>
        <v>0</v>
      </c>
      <c r="F244" s="24">
        <f>SUM(F162:F243)</f>
        <v>0</v>
      </c>
      <c r="G244" s="24">
        <f>SUM(G162:G243)</f>
        <v>51549.420209999989</v>
      </c>
      <c r="H244" s="24">
        <f t="shared" ref="H244:M244" si="34">SUM(H162:H243)</f>
        <v>0</v>
      </c>
      <c r="I244" s="24">
        <f t="shared" si="34"/>
        <v>28812.119819999989</v>
      </c>
      <c r="J244" s="24">
        <f t="shared" si="34"/>
        <v>0</v>
      </c>
      <c r="K244" s="24">
        <f t="shared" si="34"/>
        <v>0</v>
      </c>
      <c r="L244" s="24">
        <f t="shared" si="34"/>
        <v>28812.119819999989</v>
      </c>
      <c r="M244" s="24">
        <f t="shared" si="34"/>
        <v>0</v>
      </c>
      <c r="N244" t="s">
        <v>18</v>
      </c>
    </row>
    <row r="245" spans="1:14" ht="14.4" customHeight="1">
      <c r="B245" s="65" t="s">
        <v>395</v>
      </c>
      <c r="C245" s="66"/>
      <c r="D245" s="66"/>
      <c r="E245" s="66"/>
      <c r="F245" s="66"/>
      <c r="G245" s="66"/>
      <c r="H245" s="67"/>
      <c r="I245" s="1"/>
      <c r="J245" s="1"/>
      <c r="K245" s="1"/>
      <c r="L245" s="6"/>
      <c r="M245" s="1"/>
    </row>
    <row r="246" spans="1:14" ht="48.6" customHeight="1">
      <c r="A246" s="50">
        <v>125</v>
      </c>
      <c r="B246" s="39" t="s">
        <v>396</v>
      </c>
      <c r="C246" s="27" t="s">
        <v>195</v>
      </c>
      <c r="D246" s="8">
        <f>SUM(E246:G246)</f>
        <v>35</v>
      </c>
      <c r="E246" s="31"/>
      <c r="F246" s="31"/>
      <c r="G246" s="8">
        <v>35</v>
      </c>
      <c r="H246" s="31"/>
      <c r="I246" s="9">
        <f>SUM(J246:L246)</f>
        <v>35</v>
      </c>
      <c r="J246" s="1"/>
      <c r="K246" s="1"/>
      <c r="L246" s="47">
        <v>35</v>
      </c>
      <c r="M246" s="1"/>
    </row>
    <row r="247" spans="1:14" ht="48" customHeight="1">
      <c r="A247" s="50">
        <v>126</v>
      </c>
      <c r="B247" s="4" t="s">
        <v>397</v>
      </c>
      <c r="C247" s="27" t="s">
        <v>196</v>
      </c>
      <c r="D247" s="8">
        <f t="shared" ref="D247:D249" si="35">SUM(E247:G247)</f>
        <v>100</v>
      </c>
      <c r="E247" s="31"/>
      <c r="F247" s="31"/>
      <c r="G247" s="8">
        <v>100</v>
      </c>
      <c r="H247" s="31"/>
      <c r="I247" s="9">
        <f>SUM(J247:L247)</f>
        <v>100</v>
      </c>
      <c r="J247" s="1"/>
      <c r="K247" s="1"/>
      <c r="L247" s="47">
        <v>100</v>
      </c>
      <c r="M247" s="1"/>
    </row>
    <row r="248" spans="1:14" ht="55.2" customHeight="1">
      <c r="A248" s="50">
        <v>123</v>
      </c>
      <c r="B248" s="39" t="s">
        <v>398</v>
      </c>
      <c r="C248" s="27" t="s">
        <v>197</v>
      </c>
      <c r="D248" s="8">
        <f t="shared" si="35"/>
        <v>41.999000000000002</v>
      </c>
      <c r="E248" s="31"/>
      <c r="F248" s="31"/>
      <c r="G248" s="8">
        <v>41.999000000000002</v>
      </c>
      <c r="H248" s="31"/>
      <c r="I248" s="9">
        <f>SUM(J248:L248)</f>
        <v>41.999000000000002</v>
      </c>
      <c r="J248" s="1"/>
      <c r="K248" s="1"/>
      <c r="L248" s="6">
        <v>41.999000000000002</v>
      </c>
      <c r="M248" s="1"/>
    </row>
    <row r="249" spans="1:14" ht="59.4" customHeight="1">
      <c r="A249" s="50">
        <v>136</v>
      </c>
      <c r="B249" s="4" t="s">
        <v>399</v>
      </c>
      <c r="C249" s="27" t="s">
        <v>198</v>
      </c>
      <c r="D249" s="8">
        <f t="shared" si="35"/>
        <v>91.25</v>
      </c>
      <c r="E249" s="1"/>
      <c r="F249" s="8"/>
      <c r="G249" s="8">
        <v>91.25</v>
      </c>
      <c r="H249" s="1"/>
      <c r="I249" s="9">
        <f>SUM(J249:L249)</f>
        <v>91.25</v>
      </c>
      <c r="J249" s="1"/>
      <c r="K249" s="1"/>
      <c r="L249" s="6">
        <v>91.25</v>
      </c>
      <c r="M249" s="1"/>
    </row>
    <row r="250" spans="1:14">
      <c r="B250" s="23"/>
      <c r="C250" s="23" t="s">
        <v>463</v>
      </c>
      <c r="D250" s="24">
        <f t="shared" si="31"/>
        <v>268.24900000000002</v>
      </c>
      <c r="E250" s="24">
        <f t="shared" ref="E250:M250" si="36">SUM(E246:E249)</f>
        <v>0</v>
      </c>
      <c r="F250" s="24">
        <f t="shared" si="36"/>
        <v>0</v>
      </c>
      <c r="G250" s="24">
        <f t="shared" si="36"/>
        <v>268.24900000000002</v>
      </c>
      <c r="H250" s="41">
        <f t="shared" si="36"/>
        <v>0</v>
      </c>
      <c r="I250" s="41">
        <f t="shared" si="36"/>
        <v>268.24900000000002</v>
      </c>
      <c r="J250" s="41">
        <f t="shared" si="36"/>
        <v>0</v>
      </c>
      <c r="K250" s="41">
        <f t="shared" si="36"/>
        <v>0</v>
      </c>
      <c r="L250" s="41">
        <f t="shared" si="36"/>
        <v>268.24900000000002</v>
      </c>
      <c r="M250" s="41">
        <f t="shared" si="36"/>
        <v>0</v>
      </c>
    </row>
    <row r="251" spans="1:14" ht="44.4" customHeight="1">
      <c r="B251" s="68" t="s">
        <v>507</v>
      </c>
      <c r="C251" s="69"/>
      <c r="D251" s="69"/>
      <c r="E251" s="69"/>
      <c r="F251" s="69"/>
      <c r="G251" s="69"/>
      <c r="H251" s="70"/>
      <c r="I251" s="57"/>
      <c r="J251" s="55"/>
      <c r="K251" s="55"/>
      <c r="L251" s="55"/>
      <c r="M251" s="55"/>
    </row>
    <row r="252" spans="1:14" ht="55.2">
      <c r="B252" s="1" t="s">
        <v>401</v>
      </c>
      <c r="C252" s="27" t="s">
        <v>151</v>
      </c>
      <c r="D252" s="11">
        <f t="shared" ref="D252:D254" si="37">SUM(E252:H252)</f>
        <v>2450</v>
      </c>
      <c r="E252" s="11"/>
      <c r="F252" s="11">
        <v>1949.8613399999999</v>
      </c>
      <c r="G252" s="11">
        <v>500.13866000000002</v>
      </c>
      <c r="H252" s="1"/>
      <c r="I252" s="9">
        <f>SUM(J252:L252)</f>
        <v>2442.527</v>
      </c>
      <c r="J252" s="1"/>
      <c r="K252" s="8">
        <f>488.5054+234.14496+610.63175+610.63175</f>
        <v>1943.9138600000001</v>
      </c>
      <c r="L252" s="47">
        <v>498.61313999999999</v>
      </c>
      <c r="M252" s="1"/>
    </row>
    <row r="253" spans="1:14" ht="67.8" customHeight="1">
      <c r="B253" s="10" t="s">
        <v>475</v>
      </c>
      <c r="C253" s="27" t="s">
        <v>152</v>
      </c>
      <c r="D253" s="11">
        <f t="shared" si="37"/>
        <v>1701.4768100000001</v>
      </c>
      <c r="E253" s="11"/>
      <c r="F253" s="11">
        <f>1709.87831-387.54622</f>
        <v>1322.3320900000001</v>
      </c>
      <c r="G253" s="11">
        <f>440.12169-60.97697</f>
        <v>379.14472000000001</v>
      </c>
      <c r="H253" s="1"/>
      <c r="I253" s="9">
        <f>SUM(J253:L253)</f>
        <v>1690.8735000000001</v>
      </c>
      <c r="J253" s="1"/>
      <c r="K253" s="8">
        <v>1322.3320900000001</v>
      </c>
      <c r="L253" s="47">
        <f>21.105+5.30167+77.66791+1.76722+262.69961</f>
        <v>368.54140999999998</v>
      </c>
      <c r="M253" s="1"/>
    </row>
    <row r="254" spans="1:14" ht="62.4" customHeight="1">
      <c r="B254" s="10" t="s">
        <v>523</v>
      </c>
      <c r="C254" s="27" t="s">
        <v>445</v>
      </c>
      <c r="D254" s="11">
        <f t="shared" si="37"/>
        <v>599.89</v>
      </c>
      <c r="E254" s="11"/>
      <c r="F254" s="11">
        <v>387.54622000000001</v>
      </c>
      <c r="G254" s="11">
        <f>60.97697+151.36681</f>
        <v>212.34377999999998</v>
      </c>
      <c r="H254" s="1"/>
      <c r="I254" s="9">
        <f>SUM(J254:L254)</f>
        <v>599.89</v>
      </c>
      <c r="J254" s="1"/>
      <c r="K254" s="8">
        <v>387.54622000000001</v>
      </c>
      <c r="L254" s="47">
        <v>212.34378000000001</v>
      </c>
      <c r="M254" s="1"/>
    </row>
    <row r="255" spans="1:14">
      <c r="B255" s="23"/>
      <c r="C255" s="23" t="s">
        <v>476</v>
      </c>
      <c r="D255" s="24">
        <f>SUM(E255:H255)</f>
        <v>4751.3668100000004</v>
      </c>
      <c r="E255" s="24">
        <f>SUM(E252:E254)</f>
        <v>0</v>
      </c>
      <c r="F255" s="24">
        <f t="shared" ref="F255:M255" si="38">SUM(F252:F254)</f>
        <v>3659.7396500000004</v>
      </c>
      <c r="G255" s="24">
        <f t="shared" si="38"/>
        <v>1091.62716</v>
      </c>
      <c r="H255" s="24">
        <f t="shared" si="38"/>
        <v>0</v>
      </c>
      <c r="I255" s="24">
        <f t="shared" si="38"/>
        <v>4733.2905000000001</v>
      </c>
      <c r="J255" s="24">
        <f t="shared" si="38"/>
        <v>0</v>
      </c>
      <c r="K255" s="24">
        <f t="shared" si="38"/>
        <v>3653.7921700000006</v>
      </c>
      <c r="L255" s="24">
        <f t="shared" si="38"/>
        <v>1079.4983299999999</v>
      </c>
      <c r="M255" s="24">
        <f t="shared" si="38"/>
        <v>0</v>
      </c>
    </row>
    <row r="256" spans="1:14">
      <c r="B256" s="65" t="s">
        <v>477</v>
      </c>
      <c r="C256" s="66"/>
      <c r="D256" s="66">
        <v>16</v>
      </c>
      <c r="E256" s="66"/>
      <c r="F256" s="66"/>
      <c r="G256" s="66"/>
      <c r="H256" s="67"/>
      <c r="I256" s="55"/>
      <c r="J256" s="55"/>
      <c r="K256" s="55"/>
      <c r="L256" s="55"/>
      <c r="M256" s="56"/>
    </row>
    <row r="257" spans="2:13" ht="55.8">
      <c r="B257" s="4" t="s">
        <v>457</v>
      </c>
      <c r="C257" s="25" t="s">
        <v>120</v>
      </c>
      <c r="D257" s="11">
        <f t="shared" ref="D257" si="39">SUM(E257:H257)</f>
        <v>6160.7383099999997</v>
      </c>
      <c r="E257" s="1"/>
      <c r="F257" s="11">
        <v>5000</v>
      </c>
      <c r="G257" s="11">
        <v>1160.73831</v>
      </c>
      <c r="H257" s="1"/>
      <c r="I257" s="98">
        <f>SUM(J257:L257)</f>
        <v>3009.4870000000001</v>
      </c>
      <c r="J257" s="1"/>
      <c r="K257" s="1">
        <v>3009.4870000000001</v>
      </c>
      <c r="L257" s="6"/>
      <c r="M257" s="1"/>
    </row>
    <row r="258" spans="2:13">
      <c r="B258" s="23"/>
      <c r="C258" s="23" t="s">
        <v>465</v>
      </c>
      <c r="D258" s="24">
        <f>SUM(E258:H258)</f>
        <v>6160.7383099999997</v>
      </c>
      <c r="E258" s="24">
        <f>SUM(E257)</f>
        <v>0</v>
      </c>
      <c r="F258" s="24">
        <f t="shared" ref="F258:M258" si="40">SUM(F257)</f>
        <v>5000</v>
      </c>
      <c r="G258" s="24">
        <f t="shared" si="40"/>
        <v>1160.73831</v>
      </c>
      <c r="H258" s="24">
        <f t="shared" si="40"/>
        <v>0</v>
      </c>
      <c r="I258" s="24">
        <f t="shared" si="40"/>
        <v>3009.4870000000001</v>
      </c>
      <c r="J258" s="24">
        <f t="shared" si="40"/>
        <v>0</v>
      </c>
      <c r="K258" s="24">
        <f t="shared" si="40"/>
        <v>3009.4870000000001</v>
      </c>
      <c r="L258" s="24">
        <f t="shared" si="40"/>
        <v>0</v>
      </c>
      <c r="M258" s="24">
        <f t="shared" si="40"/>
        <v>0</v>
      </c>
    </row>
    <row r="259" spans="2:13">
      <c r="B259" s="65" t="s">
        <v>478</v>
      </c>
      <c r="C259" s="66"/>
      <c r="D259" s="66">
        <v>16</v>
      </c>
      <c r="E259" s="66"/>
      <c r="F259" s="66"/>
      <c r="G259" s="66"/>
      <c r="H259" s="67"/>
      <c r="I259" s="55"/>
      <c r="J259" s="55"/>
      <c r="K259" s="55"/>
      <c r="L259" s="55"/>
      <c r="M259" s="56"/>
    </row>
    <row r="260" spans="2:13" ht="55.2">
      <c r="B260" s="39" t="s">
        <v>458</v>
      </c>
      <c r="C260" s="27" t="s">
        <v>204</v>
      </c>
      <c r="D260" s="8">
        <f t="shared" ref="D260:D262" si="41">SUM(E260:H260)</f>
        <v>341.20299999999997</v>
      </c>
      <c r="E260" s="1"/>
      <c r="F260" s="8">
        <v>331.20299999999997</v>
      </c>
      <c r="G260" s="8">
        <v>10</v>
      </c>
      <c r="H260" s="1"/>
      <c r="I260" s="97">
        <f>SUM(J260:L260)</f>
        <v>0</v>
      </c>
      <c r="J260" s="1"/>
      <c r="K260" s="1"/>
      <c r="L260" s="6"/>
      <c r="M260" s="1"/>
    </row>
    <row r="261" spans="2:13" ht="69" customHeight="1">
      <c r="B261" s="39" t="s">
        <v>459</v>
      </c>
      <c r="C261" s="27" t="s">
        <v>201</v>
      </c>
      <c r="D261" s="8">
        <f t="shared" si="41"/>
        <v>300.26400000000001</v>
      </c>
      <c r="E261" s="1"/>
      <c r="F261" s="29">
        <f>290.264</f>
        <v>290.26400000000001</v>
      </c>
      <c r="G261" s="8">
        <f>10</f>
        <v>10</v>
      </c>
      <c r="H261" s="1"/>
      <c r="I261" s="97">
        <f>SUM(J261:L261)</f>
        <v>288.97699999999998</v>
      </c>
      <c r="J261" s="1"/>
      <c r="K261" s="1"/>
      <c r="L261" s="6">
        <v>288.97699999999998</v>
      </c>
      <c r="M261" s="1"/>
    </row>
    <row r="262" spans="2:13" ht="51.6" customHeight="1">
      <c r="B262" s="4" t="s">
        <v>460</v>
      </c>
      <c r="C262" s="27" t="s">
        <v>199</v>
      </c>
      <c r="D262" s="11">
        <f t="shared" si="41"/>
        <v>4906.2110000000002</v>
      </c>
      <c r="E262" s="1"/>
      <c r="F262" s="11">
        <v>4378.5330000000004</v>
      </c>
      <c r="G262" s="8">
        <f>527.678</f>
        <v>527.678</v>
      </c>
      <c r="H262" s="1"/>
      <c r="I262" s="97">
        <f>SUM(J262:L262)</f>
        <v>0</v>
      </c>
      <c r="J262" s="1"/>
      <c r="K262" s="1"/>
      <c r="L262" s="6"/>
      <c r="M262" s="1"/>
    </row>
    <row r="263" spans="2:13">
      <c r="B263" s="23"/>
      <c r="C263" s="23" t="s">
        <v>464</v>
      </c>
      <c r="D263" s="24">
        <f>SUM(E263:H263)</f>
        <v>5547.6779999999999</v>
      </c>
      <c r="E263" s="24">
        <f>SUM(E260:E262)</f>
        <v>0</v>
      </c>
      <c r="F263" s="24">
        <f t="shared" ref="F263:M263" si="42">SUM(F260:F262)</f>
        <v>5000</v>
      </c>
      <c r="G263" s="24">
        <f t="shared" si="42"/>
        <v>547.678</v>
      </c>
      <c r="H263" s="24">
        <f t="shared" si="42"/>
        <v>0</v>
      </c>
      <c r="I263" s="24">
        <f t="shared" si="42"/>
        <v>288.97699999999998</v>
      </c>
      <c r="J263" s="24">
        <f t="shared" si="42"/>
        <v>0</v>
      </c>
      <c r="K263" s="24">
        <f t="shared" si="42"/>
        <v>0</v>
      </c>
      <c r="L263" s="24">
        <f t="shared" si="42"/>
        <v>288.97699999999998</v>
      </c>
      <c r="M263" s="24">
        <f t="shared" si="42"/>
        <v>0</v>
      </c>
    </row>
    <row r="264" spans="2:13">
      <c r="B264" s="65" t="s">
        <v>466</v>
      </c>
      <c r="C264" s="66"/>
      <c r="D264" s="66"/>
      <c r="E264" s="66"/>
      <c r="F264" s="66"/>
      <c r="G264" s="66"/>
      <c r="H264" s="67"/>
      <c r="I264" s="1"/>
      <c r="J264" s="1"/>
      <c r="K264" s="1"/>
      <c r="L264" s="6"/>
      <c r="M264" s="1"/>
    </row>
    <row r="265" spans="2:13" ht="27.6">
      <c r="B265" s="4" t="s">
        <v>479</v>
      </c>
      <c r="C265" s="27" t="s">
        <v>215</v>
      </c>
      <c r="D265" s="8">
        <f>SUM(E265:H265)</f>
        <v>398.83800000000002</v>
      </c>
      <c r="E265" s="1"/>
      <c r="F265" s="1"/>
      <c r="G265" s="8">
        <v>398.83800000000002</v>
      </c>
      <c r="H265" s="1"/>
      <c r="I265" s="96">
        <f>SUM(J265:L265)</f>
        <v>398.83800000000002</v>
      </c>
      <c r="J265" s="1"/>
      <c r="K265" s="1"/>
      <c r="L265" s="6">
        <v>398.83800000000002</v>
      </c>
      <c r="M265" s="1"/>
    </row>
    <row r="266" spans="2:13" ht="27.6">
      <c r="B266" s="4" t="s">
        <v>480</v>
      </c>
      <c r="C266" s="27" t="s">
        <v>7</v>
      </c>
      <c r="D266" s="8">
        <f t="shared" ref="D266:D292" si="43">SUM(E266:H266)</f>
        <v>225</v>
      </c>
      <c r="E266" s="1"/>
      <c r="F266" s="1"/>
      <c r="G266" s="8">
        <v>225</v>
      </c>
      <c r="H266" s="1"/>
      <c r="I266" s="97">
        <f>SUM(J266:L266)</f>
        <v>225</v>
      </c>
      <c r="J266" s="1"/>
      <c r="K266" s="1"/>
      <c r="L266" s="47">
        <v>225</v>
      </c>
      <c r="M266" s="1"/>
    </row>
    <row r="267" spans="2:13" ht="27.6">
      <c r="B267" s="4" t="s">
        <v>481</v>
      </c>
      <c r="C267" s="27" t="s">
        <v>8</v>
      </c>
      <c r="D267" s="8">
        <f t="shared" si="43"/>
        <v>135.50399999999999</v>
      </c>
      <c r="E267" s="1"/>
      <c r="F267" s="1"/>
      <c r="G267" s="8">
        <f>79+56.504</f>
        <v>135.50399999999999</v>
      </c>
      <c r="H267" s="1"/>
      <c r="I267" s="97">
        <f>SUM(J267:L267)</f>
        <v>135.50399999999999</v>
      </c>
      <c r="J267" s="1"/>
      <c r="K267" s="1"/>
      <c r="L267" s="47">
        <f>79+56.504</f>
        <v>135.50399999999999</v>
      </c>
      <c r="M267" s="1"/>
    </row>
    <row r="268" spans="2:13">
      <c r="B268" s="4" t="s">
        <v>482</v>
      </c>
      <c r="C268" s="27" t="s">
        <v>9</v>
      </c>
      <c r="D268" s="8">
        <f t="shared" si="43"/>
        <v>156</v>
      </c>
      <c r="E268" s="1"/>
      <c r="F268" s="1"/>
      <c r="G268" s="8">
        <v>156</v>
      </c>
      <c r="H268" s="1"/>
      <c r="I268" s="97">
        <f>SUM(J268:L268)</f>
        <v>156</v>
      </c>
      <c r="J268" s="1"/>
      <c r="K268" s="1"/>
      <c r="L268" s="47">
        <v>156</v>
      </c>
      <c r="M268" s="1"/>
    </row>
    <row r="269" spans="2:13">
      <c r="B269" s="4" t="s">
        <v>483</v>
      </c>
      <c r="C269" s="27" t="s">
        <v>11</v>
      </c>
      <c r="D269" s="8">
        <f t="shared" si="43"/>
        <v>137.9</v>
      </c>
      <c r="E269" s="1"/>
      <c r="F269" s="1"/>
      <c r="G269" s="8">
        <v>137.9</v>
      </c>
      <c r="H269" s="1"/>
      <c r="I269" s="97">
        <f>SUM(J269:L269)</f>
        <v>137.9</v>
      </c>
      <c r="J269" s="1"/>
      <c r="K269" s="1"/>
      <c r="L269" s="47">
        <v>137.9</v>
      </c>
      <c r="M269" s="1"/>
    </row>
    <row r="270" spans="2:13" ht="41.4">
      <c r="B270" s="4" t="s">
        <v>484</v>
      </c>
      <c r="C270" s="27" t="s">
        <v>10</v>
      </c>
      <c r="D270" s="8">
        <f t="shared" si="43"/>
        <v>158</v>
      </c>
      <c r="E270" s="1"/>
      <c r="F270" s="1"/>
      <c r="G270" s="8">
        <v>158</v>
      </c>
      <c r="H270" s="1"/>
      <c r="I270" s="97">
        <f>SUM(J270:L270)</f>
        <v>158</v>
      </c>
      <c r="J270" s="1"/>
      <c r="K270" s="1"/>
      <c r="L270" s="47">
        <v>158</v>
      </c>
      <c r="M270" s="1"/>
    </row>
    <row r="271" spans="2:13" ht="41.4">
      <c r="B271" s="4" t="s">
        <v>485</v>
      </c>
      <c r="C271" s="27" t="s">
        <v>12</v>
      </c>
      <c r="D271" s="8">
        <f t="shared" si="43"/>
        <v>35</v>
      </c>
      <c r="E271" s="1"/>
      <c r="F271" s="1"/>
      <c r="G271" s="8">
        <v>35</v>
      </c>
      <c r="H271" s="1"/>
      <c r="I271" s="97">
        <f>SUM(J271:L271)</f>
        <v>35</v>
      </c>
      <c r="J271" s="1"/>
      <c r="K271" s="1"/>
      <c r="L271" s="6">
        <v>35</v>
      </c>
      <c r="M271" s="1"/>
    </row>
    <row r="272" spans="2:13" ht="27.6">
      <c r="B272" s="4" t="s">
        <v>486</v>
      </c>
      <c r="C272" s="27" t="s">
        <v>13</v>
      </c>
      <c r="D272" s="8">
        <f t="shared" si="43"/>
        <v>10.11734</v>
      </c>
      <c r="E272" s="1"/>
      <c r="F272" s="1"/>
      <c r="G272" s="8">
        <v>10.11734</v>
      </c>
      <c r="H272" s="1"/>
      <c r="I272" s="9">
        <f>SUM(J272:L272)</f>
        <v>10.11734</v>
      </c>
      <c r="J272" s="1"/>
      <c r="K272" s="1"/>
      <c r="L272" s="47">
        <v>10.11734</v>
      </c>
      <c r="M272" s="1"/>
    </row>
    <row r="273" spans="2:13" ht="22.8" customHeight="1">
      <c r="B273" s="4" t="s">
        <v>487</v>
      </c>
      <c r="C273" s="27" t="s">
        <v>14</v>
      </c>
      <c r="D273" s="8">
        <f t="shared" si="43"/>
        <v>367.43090999999998</v>
      </c>
      <c r="E273" s="1"/>
      <c r="F273" s="1"/>
      <c r="G273" s="8">
        <f>I273+J273</f>
        <v>367.43090999999998</v>
      </c>
      <c r="H273" s="1"/>
      <c r="I273" s="9">
        <f>SUM(J273:L273)</f>
        <v>367.43090999999998</v>
      </c>
      <c r="J273" s="1"/>
      <c r="K273" s="1"/>
      <c r="L273" s="47">
        <v>367.43090999999998</v>
      </c>
      <c r="M273" s="1"/>
    </row>
    <row r="274" spans="2:13" ht="27.6">
      <c r="B274" s="4" t="s">
        <v>488</v>
      </c>
      <c r="C274" s="27" t="s">
        <v>209</v>
      </c>
      <c r="D274" s="11">
        <f t="shared" si="43"/>
        <v>14107.3</v>
      </c>
      <c r="E274" s="1"/>
      <c r="F274" s="1"/>
      <c r="G274" s="11">
        <f>6041.937+6788.793+1276.57</f>
        <v>14107.3</v>
      </c>
      <c r="H274" s="1"/>
      <c r="I274" s="9">
        <f>SUM(J274:L274)</f>
        <v>14107.3289</v>
      </c>
      <c r="J274" s="1"/>
      <c r="K274" s="1"/>
      <c r="L274" s="46">
        <f>12830.73+1276.5989</f>
        <v>14107.3289</v>
      </c>
      <c r="M274" s="1"/>
    </row>
    <row r="275" spans="2:13" ht="27.6">
      <c r="B275" s="4" t="s">
        <v>489</v>
      </c>
      <c r="C275" s="27" t="s">
        <v>79</v>
      </c>
      <c r="D275" s="11">
        <f t="shared" si="43"/>
        <v>1825.9459999999999</v>
      </c>
      <c r="E275" s="1"/>
      <c r="F275" s="1"/>
      <c r="G275" s="11">
        <v>1825.9459999999999</v>
      </c>
      <c r="H275" s="1"/>
      <c r="I275" s="9">
        <f>SUM(J275:L275)</f>
        <v>1825.94615</v>
      </c>
      <c r="J275" s="1"/>
      <c r="K275" s="1"/>
      <c r="L275" s="46">
        <v>1825.94615</v>
      </c>
      <c r="M275" s="1"/>
    </row>
    <row r="276" spans="2:13" ht="27.6">
      <c r="B276" s="4" t="s">
        <v>509</v>
      </c>
      <c r="C276" s="27" t="s">
        <v>156</v>
      </c>
      <c r="D276" s="8">
        <f t="shared" si="43"/>
        <v>179.01</v>
      </c>
      <c r="E276" s="1"/>
      <c r="F276" s="1"/>
      <c r="G276" s="8">
        <v>179.01</v>
      </c>
      <c r="H276" s="1"/>
      <c r="I276" s="2">
        <f>SUM(J276:L276)</f>
        <v>179.01</v>
      </c>
      <c r="J276" s="1"/>
      <c r="K276" s="1"/>
      <c r="L276" s="6">
        <v>179.01</v>
      </c>
      <c r="M276" s="1"/>
    </row>
    <row r="277" spans="2:13" ht="27.6">
      <c r="B277" s="4" t="s">
        <v>490</v>
      </c>
      <c r="C277" s="27" t="s">
        <v>157</v>
      </c>
      <c r="D277" s="8">
        <f t="shared" si="43"/>
        <v>54</v>
      </c>
      <c r="E277" s="1"/>
      <c r="F277" s="1"/>
      <c r="G277" s="8">
        <f>30+24</f>
        <v>54</v>
      </c>
      <c r="H277" s="1"/>
      <c r="I277" s="9">
        <f>SUM(J277:L277)</f>
        <v>54</v>
      </c>
      <c r="J277" s="1"/>
      <c r="K277" s="1"/>
      <c r="L277" s="47">
        <f>30+24</f>
        <v>54</v>
      </c>
      <c r="M277" s="1"/>
    </row>
    <row r="278" spans="2:13" ht="41.4">
      <c r="B278" s="4" t="s">
        <v>491</v>
      </c>
      <c r="C278" s="27" t="s">
        <v>207</v>
      </c>
      <c r="D278" s="11">
        <f t="shared" si="43"/>
        <v>5103.6239999999998</v>
      </c>
      <c r="E278" s="1"/>
      <c r="F278" s="1"/>
      <c r="G278" s="11">
        <v>5103.6239999999998</v>
      </c>
      <c r="H278" s="1"/>
      <c r="I278" s="44">
        <f>SUM(J278:L278)</f>
        <v>5103.6248100000003</v>
      </c>
      <c r="J278" s="1"/>
      <c r="K278" s="1"/>
      <c r="L278" s="46">
        <v>5103.6248100000003</v>
      </c>
      <c r="M278" s="1"/>
    </row>
    <row r="279" spans="2:13" ht="41.4">
      <c r="B279" s="4" t="s">
        <v>492</v>
      </c>
      <c r="C279" s="27" t="s">
        <v>208</v>
      </c>
      <c r="D279" s="11">
        <f t="shared" si="43"/>
        <v>1002.369</v>
      </c>
      <c r="E279" s="1"/>
      <c r="F279" s="1"/>
      <c r="G279" s="11">
        <f>1002.369</f>
        <v>1002.369</v>
      </c>
      <c r="H279" s="1"/>
      <c r="I279" s="9">
        <f>SUM(J279:L279)</f>
        <v>906.78998999999999</v>
      </c>
      <c r="J279" s="1"/>
      <c r="K279" s="1"/>
      <c r="L279" s="47">
        <v>906.78998999999999</v>
      </c>
      <c r="M279" s="1"/>
    </row>
    <row r="280" spans="2:13">
      <c r="B280" s="4" t="s">
        <v>493</v>
      </c>
      <c r="C280" s="27" t="s">
        <v>16</v>
      </c>
      <c r="D280" s="11">
        <f t="shared" si="43"/>
        <v>5379.232</v>
      </c>
      <c r="E280" s="1"/>
      <c r="F280" s="1"/>
      <c r="G280" s="11">
        <f>5073.4+305.832</f>
        <v>5379.232</v>
      </c>
      <c r="H280" s="1"/>
      <c r="I280" s="44">
        <f>SUM(J280:L280)</f>
        <v>5379.2312600000005</v>
      </c>
      <c r="J280" s="1"/>
      <c r="K280" s="1"/>
      <c r="L280" s="46">
        <f>2000+1858.44292+1520.78834</f>
        <v>5379.2312600000005</v>
      </c>
      <c r="M280" s="1"/>
    </row>
    <row r="281" spans="2:13" ht="27.6">
      <c r="B281" s="4" t="s">
        <v>510</v>
      </c>
      <c r="C281" s="27" t="s">
        <v>444</v>
      </c>
      <c r="D281" s="11">
        <f t="shared" si="43"/>
        <v>680.125</v>
      </c>
      <c r="E281" s="1"/>
      <c r="F281" s="1"/>
      <c r="G281" s="11">
        <v>680.125</v>
      </c>
      <c r="H281" s="1"/>
      <c r="I281" s="44">
        <f>SUM(J281:L281)</f>
        <v>680.125</v>
      </c>
      <c r="J281" s="6"/>
      <c r="K281" s="6"/>
      <c r="L281" s="46">
        <v>680.125</v>
      </c>
      <c r="M281" s="1"/>
    </row>
    <row r="282" spans="2:13" ht="27.6">
      <c r="B282" s="4" t="s">
        <v>494</v>
      </c>
      <c r="C282" s="27" t="s">
        <v>98</v>
      </c>
      <c r="D282" s="11">
        <f t="shared" si="43"/>
        <v>1328.3493800000001</v>
      </c>
      <c r="E282" s="1"/>
      <c r="F282" s="1"/>
      <c r="G282" s="11">
        <f>1289.13938+39.21</f>
        <v>1328.3493800000001</v>
      </c>
      <c r="H282" s="1"/>
      <c r="I282" s="44">
        <f>SUM(J282:L282)</f>
        <v>1289.1393800000001</v>
      </c>
      <c r="J282" s="6"/>
      <c r="K282" s="6"/>
      <c r="L282" s="46">
        <v>1289.1393800000001</v>
      </c>
      <c r="M282" s="1"/>
    </row>
    <row r="283" spans="2:13" ht="41.4">
      <c r="B283" s="4" t="s">
        <v>495</v>
      </c>
      <c r="C283" s="27" t="s">
        <v>99</v>
      </c>
      <c r="D283" s="11">
        <f t="shared" si="43"/>
        <v>835.78</v>
      </c>
      <c r="E283" s="1"/>
      <c r="F283" s="1"/>
      <c r="G283" s="11">
        <v>835.78</v>
      </c>
      <c r="H283" s="1"/>
      <c r="I283" s="9">
        <f>SUM(J283:L283)</f>
        <v>835.78</v>
      </c>
      <c r="J283" s="6"/>
      <c r="K283" s="6"/>
      <c r="L283" s="46">
        <v>835.78</v>
      </c>
      <c r="M283" s="1"/>
    </row>
    <row r="284" spans="2:13" ht="27.6">
      <c r="B284" s="4" t="s">
        <v>496</v>
      </c>
      <c r="C284" s="27" t="s">
        <v>100</v>
      </c>
      <c r="D284" s="11">
        <f t="shared" si="43"/>
        <v>86.92</v>
      </c>
      <c r="E284" s="1"/>
      <c r="F284" s="1"/>
      <c r="G284" s="11">
        <v>86.92</v>
      </c>
      <c r="H284" s="1"/>
      <c r="I284" s="9">
        <f>SUM(J284:L284)</f>
        <v>86.92</v>
      </c>
      <c r="J284" s="6"/>
      <c r="K284" s="6"/>
      <c r="L284" s="46">
        <v>86.92</v>
      </c>
      <c r="M284" s="1"/>
    </row>
    <row r="285" spans="2:13" ht="41.4">
      <c r="B285" s="4" t="s">
        <v>497</v>
      </c>
      <c r="C285" s="27" t="s">
        <v>101</v>
      </c>
      <c r="D285" s="11">
        <f t="shared" si="43"/>
        <v>514.37386000000004</v>
      </c>
      <c r="E285" s="1"/>
      <c r="F285" s="1"/>
      <c r="G285" s="11">
        <v>514.37386000000004</v>
      </c>
      <c r="H285" s="1"/>
      <c r="I285" s="9">
        <f>SUM(J285:L285)</f>
        <v>514.37386000000004</v>
      </c>
      <c r="J285" s="6"/>
      <c r="K285" s="6"/>
      <c r="L285" s="46">
        <v>514.37386000000004</v>
      </c>
      <c r="M285" s="1"/>
    </row>
    <row r="286" spans="2:13" ht="27.6">
      <c r="B286" s="4" t="s">
        <v>498</v>
      </c>
      <c r="C286" s="27" t="s">
        <v>102</v>
      </c>
      <c r="D286" s="11">
        <f t="shared" si="43"/>
        <v>402.66604999999998</v>
      </c>
      <c r="E286" s="1"/>
      <c r="F286" s="1"/>
      <c r="G286" s="11">
        <v>402.66604999999998</v>
      </c>
      <c r="H286" s="1"/>
      <c r="I286" s="9">
        <f>SUM(J286:L286)</f>
        <v>402.66604999999998</v>
      </c>
      <c r="J286" s="6"/>
      <c r="K286" s="6"/>
      <c r="L286" s="46">
        <v>402.66604999999998</v>
      </c>
      <c r="M286" s="1"/>
    </row>
    <row r="287" spans="2:13" ht="55.2">
      <c r="B287" s="4" t="s">
        <v>499</v>
      </c>
      <c r="C287" s="27" t="s">
        <v>434</v>
      </c>
      <c r="D287" s="11">
        <f t="shared" si="43"/>
        <v>76</v>
      </c>
      <c r="E287" s="1"/>
      <c r="F287" s="1"/>
      <c r="G287" s="11">
        <v>76</v>
      </c>
      <c r="H287" s="1"/>
      <c r="I287" s="9">
        <f>SUM(J287:L287)</f>
        <v>76</v>
      </c>
      <c r="J287" s="6"/>
      <c r="K287" s="6"/>
      <c r="L287" s="46">
        <v>76</v>
      </c>
      <c r="M287" s="1"/>
    </row>
    <row r="288" spans="2:13" ht="27.6">
      <c r="B288" s="4" t="s">
        <v>500</v>
      </c>
      <c r="C288" s="27" t="s">
        <v>103</v>
      </c>
      <c r="D288" s="11">
        <f t="shared" si="43"/>
        <v>99.9</v>
      </c>
      <c r="E288" s="1"/>
      <c r="F288" s="1"/>
      <c r="G288" s="11">
        <v>99.9</v>
      </c>
      <c r="H288" s="1"/>
      <c r="I288" s="9">
        <f>SUM(J288:L288)</f>
        <v>99.9</v>
      </c>
      <c r="J288" s="6"/>
      <c r="K288" s="6"/>
      <c r="L288" s="46">
        <v>99.9</v>
      </c>
      <c r="M288" s="1"/>
    </row>
    <row r="289" spans="2:13" ht="27.6">
      <c r="B289" s="4" t="s">
        <v>501</v>
      </c>
      <c r="C289" s="27" t="s">
        <v>105</v>
      </c>
      <c r="D289" s="11">
        <f t="shared" si="43"/>
        <v>1810.029</v>
      </c>
      <c r="E289" s="1"/>
      <c r="F289" s="1"/>
      <c r="G289" s="11">
        <v>1810.029</v>
      </c>
      <c r="H289" s="1"/>
      <c r="I289" s="9">
        <f>SUM(J289:L289)</f>
        <v>1810.029</v>
      </c>
      <c r="J289" s="6"/>
      <c r="K289" s="6"/>
      <c r="L289" s="46">
        <v>1810.029</v>
      </c>
      <c r="M289" s="1"/>
    </row>
    <row r="290" spans="2:13" ht="27.6">
      <c r="B290" s="4" t="s">
        <v>502</v>
      </c>
      <c r="C290" s="27" t="s">
        <v>104</v>
      </c>
      <c r="D290" s="11">
        <f t="shared" si="43"/>
        <v>205.447</v>
      </c>
      <c r="E290" s="1"/>
      <c r="F290" s="1"/>
      <c r="G290" s="11">
        <v>205.447</v>
      </c>
      <c r="H290" s="1"/>
      <c r="I290" s="9">
        <f>SUM(J290:L290)</f>
        <v>205.447</v>
      </c>
      <c r="J290" s="6"/>
      <c r="K290" s="6"/>
      <c r="L290" s="46">
        <v>205.447</v>
      </c>
      <c r="M290" s="1"/>
    </row>
    <row r="291" spans="2:13" ht="69">
      <c r="B291" s="4" t="s">
        <v>503</v>
      </c>
      <c r="C291" s="27" t="s">
        <v>106</v>
      </c>
      <c r="D291" s="11">
        <f t="shared" si="43"/>
        <v>14.7</v>
      </c>
      <c r="E291" s="1"/>
      <c r="F291" s="1"/>
      <c r="G291" s="11">
        <v>14.7</v>
      </c>
      <c r="H291" s="1"/>
      <c r="I291" s="9">
        <f>SUM(J291:L291)</f>
        <v>14.7</v>
      </c>
      <c r="J291" s="6"/>
      <c r="K291" s="6"/>
      <c r="L291" s="46">
        <v>14.7</v>
      </c>
      <c r="M291" s="1"/>
    </row>
    <row r="292" spans="2:13">
      <c r="B292" s="23"/>
      <c r="C292" s="23" t="s">
        <v>216</v>
      </c>
      <c r="D292" s="24">
        <f t="shared" si="43"/>
        <v>35329.561539999995</v>
      </c>
      <c r="E292" s="33">
        <f>SUM(E265:E291)</f>
        <v>0</v>
      </c>
      <c r="F292" s="33">
        <f t="shared" ref="F292:M292" si="44">SUM(F265:F291)</f>
        <v>0</v>
      </c>
      <c r="G292" s="24">
        <f t="shared" si="44"/>
        <v>35329.561539999995</v>
      </c>
      <c r="H292" s="33">
        <f t="shared" si="44"/>
        <v>0</v>
      </c>
      <c r="I292" s="33">
        <f t="shared" si="44"/>
        <v>35194.801650000001</v>
      </c>
      <c r="J292" s="33">
        <f t="shared" si="44"/>
        <v>0</v>
      </c>
      <c r="K292" s="33">
        <f t="shared" si="44"/>
        <v>0</v>
      </c>
      <c r="L292" s="42">
        <f t="shared" si="44"/>
        <v>35194.801650000001</v>
      </c>
      <c r="M292" s="42">
        <f t="shared" si="44"/>
        <v>0</v>
      </c>
    </row>
    <row r="293" spans="2:13">
      <c r="B293" s="23"/>
      <c r="C293" s="23" t="s">
        <v>532</v>
      </c>
      <c r="D293" s="24">
        <f t="shared" ref="D293:M293" si="45">D292+D263+D258+D255+D250+D244+D160+D155+D143+D127+D116+D111+D104+D79+D65+D53+D50+D23+D17</f>
        <v>202223.76066</v>
      </c>
      <c r="E293" s="24">
        <f t="shared" si="45"/>
        <v>1091.9000000000001</v>
      </c>
      <c r="F293" s="24">
        <f t="shared" si="45"/>
        <v>25270.669649999996</v>
      </c>
      <c r="G293" s="24">
        <f t="shared" si="45"/>
        <v>162661.19225999995</v>
      </c>
      <c r="H293" s="24">
        <f t="shared" si="45"/>
        <v>13199.998750000002</v>
      </c>
      <c r="I293" s="24">
        <f t="shared" si="45"/>
        <v>130032.96129999997</v>
      </c>
      <c r="J293" s="24">
        <f t="shared" si="45"/>
        <v>1091.9000000000001</v>
      </c>
      <c r="K293" s="24">
        <f t="shared" si="45"/>
        <v>12005.113830000002</v>
      </c>
      <c r="L293" s="24">
        <f t="shared" si="45"/>
        <v>116935.94746999997</v>
      </c>
      <c r="M293" s="24">
        <f t="shared" si="45"/>
        <v>12538.127369999998</v>
      </c>
    </row>
    <row r="294" spans="2:13">
      <c r="B294" s="65" t="s">
        <v>400</v>
      </c>
      <c r="C294" s="66"/>
      <c r="D294" s="66"/>
      <c r="E294" s="66"/>
      <c r="F294" s="66"/>
      <c r="G294" s="66"/>
      <c r="H294" s="95"/>
      <c r="I294" s="1"/>
      <c r="J294" s="1"/>
      <c r="K294" s="1"/>
      <c r="L294" s="6"/>
      <c r="M294" s="1"/>
    </row>
    <row r="295" spans="2:13" ht="27.6">
      <c r="B295" s="1">
        <v>1</v>
      </c>
      <c r="C295" s="27" t="s">
        <v>205</v>
      </c>
      <c r="D295" s="8">
        <f>SUM(E295:H295)</f>
        <v>329.99304000000001</v>
      </c>
      <c r="E295" s="1"/>
      <c r="F295" s="1"/>
      <c r="G295" s="8">
        <f>17.73532+2.27884+8.61996+10+9.80892+281.55</f>
        <v>329.99304000000001</v>
      </c>
      <c r="H295" s="1"/>
      <c r="I295" s="2">
        <f>SUM(J295:L295)</f>
        <v>103.53152</v>
      </c>
      <c r="J295" s="1"/>
      <c r="K295" s="1"/>
      <c r="L295" s="6">
        <f>17.73532+2.27884+8.61996+10+9.80892+16.94268+38.1458</f>
        <v>103.53152</v>
      </c>
      <c r="M295" s="1"/>
    </row>
    <row r="296" spans="2:13">
      <c r="B296" s="23"/>
      <c r="C296" s="23" t="s">
        <v>461</v>
      </c>
      <c r="D296" s="33">
        <f>SUM(E296:H296)</f>
        <v>329.99304000000001</v>
      </c>
      <c r="E296" s="23">
        <f t="shared" ref="E296:F296" si="46">SUM(E295)</f>
        <v>0</v>
      </c>
      <c r="F296" s="23">
        <f t="shared" si="46"/>
        <v>0</v>
      </c>
      <c r="G296" s="33">
        <f>SUM(G295)</f>
        <v>329.99304000000001</v>
      </c>
      <c r="H296" s="23">
        <f>SUM(H295)</f>
        <v>0</v>
      </c>
      <c r="I296" s="43">
        <f t="shared" ref="I296:M296" si="47">SUM(I295)</f>
        <v>103.53152</v>
      </c>
      <c r="J296" s="43">
        <f t="shared" si="47"/>
        <v>0</v>
      </c>
      <c r="K296" s="43">
        <f t="shared" si="47"/>
        <v>0</v>
      </c>
      <c r="L296" s="43">
        <f t="shared" si="47"/>
        <v>103.53152</v>
      </c>
      <c r="M296" s="43">
        <f t="shared" si="47"/>
        <v>0</v>
      </c>
    </row>
    <row r="297" spans="2:13">
      <c r="B297" s="65" t="s">
        <v>212</v>
      </c>
      <c r="C297" s="66"/>
      <c r="D297" s="66"/>
      <c r="E297" s="66"/>
      <c r="F297" s="66"/>
      <c r="G297" s="66"/>
      <c r="H297" s="95"/>
      <c r="I297" s="1"/>
      <c r="J297" s="1"/>
      <c r="K297" s="1"/>
      <c r="L297" s="6"/>
      <c r="M297" s="1"/>
    </row>
    <row r="298" spans="2:13" ht="41.4">
      <c r="B298" s="1">
        <v>1</v>
      </c>
      <c r="C298" s="27" t="s">
        <v>213</v>
      </c>
      <c r="D298" s="8">
        <f>SUM(E298:H298)</f>
        <v>640.41</v>
      </c>
      <c r="E298" s="1"/>
      <c r="F298" s="1"/>
      <c r="G298" s="8">
        <v>640.41</v>
      </c>
      <c r="H298" s="1"/>
      <c r="I298" s="2">
        <f>SUM(J298:L298)</f>
        <v>640.41</v>
      </c>
      <c r="J298" s="1"/>
      <c r="K298" s="1"/>
      <c r="L298" s="6">
        <f>223.874+416.536</f>
        <v>640.41</v>
      </c>
      <c r="M298" s="1"/>
    </row>
    <row r="299" spans="2:13" ht="27.6">
      <c r="B299" s="1">
        <v>2</v>
      </c>
      <c r="C299" s="27" t="s">
        <v>214</v>
      </c>
      <c r="D299" s="8">
        <f>SUM(E299:H299)</f>
        <v>180</v>
      </c>
      <c r="E299" s="1"/>
      <c r="F299" s="1"/>
      <c r="G299" s="8">
        <f>180</f>
        <v>180</v>
      </c>
      <c r="H299" s="1"/>
      <c r="I299" s="2">
        <f>SUM(J299:L299)</f>
        <v>170.72769</v>
      </c>
      <c r="J299" s="1"/>
      <c r="K299" s="1"/>
      <c r="L299" s="6">
        <v>170.72769</v>
      </c>
      <c r="M299" s="1"/>
    </row>
    <row r="300" spans="2:13">
      <c r="B300" s="23"/>
      <c r="C300" s="23" t="s">
        <v>462</v>
      </c>
      <c r="D300" s="33">
        <f>SUM(E300:H300)</f>
        <v>820.41</v>
      </c>
      <c r="E300" s="33">
        <f t="shared" ref="E300:F300" si="48">SUM(E298:E299)</f>
        <v>0</v>
      </c>
      <c r="F300" s="33">
        <f t="shared" si="48"/>
        <v>0</v>
      </c>
      <c r="G300" s="33">
        <f>SUM(G298:G299)</f>
        <v>820.41</v>
      </c>
      <c r="H300" s="33">
        <f>SUM(H298:H299)</f>
        <v>0</v>
      </c>
      <c r="I300" s="42">
        <f t="shared" ref="I300:M300" si="49">SUM(I298:I299)</f>
        <v>811.13769000000002</v>
      </c>
      <c r="J300" s="42">
        <f t="shared" si="49"/>
        <v>0</v>
      </c>
      <c r="K300" s="42">
        <f t="shared" si="49"/>
        <v>0</v>
      </c>
      <c r="L300" s="42">
        <f t="shared" si="49"/>
        <v>811.13769000000002</v>
      </c>
      <c r="M300" s="42">
        <f t="shared" si="49"/>
        <v>0</v>
      </c>
    </row>
    <row r="301" spans="2:13" ht="1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6"/>
      <c r="M301" s="1"/>
    </row>
    <row r="302" spans="2:13">
      <c r="B302" s="48"/>
      <c r="C302" s="48" t="s">
        <v>206</v>
      </c>
      <c r="D302" s="49">
        <f t="shared" ref="D302:M302" si="50">D300+D296+D292+D263+D258+D255+D250+D244+D160+D155+D143+D127+D116+D111+D104+D79+D65+D53+D50+D23+D17</f>
        <v>203374.16369999995</v>
      </c>
      <c r="E302" s="49">
        <f t="shared" si="50"/>
        <v>1091.9000000000001</v>
      </c>
      <c r="F302" s="49">
        <f t="shared" si="50"/>
        <v>25270.669649999996</v>
      </c>
      <c r="G302" s="49">
        <f t="shared" si="50"/>
        <v>163811.59529999996</v>
      </c>
      <c r="H302" s="49">
        <f t="shared" si="50"/>
        <v>13199.998750000002</v>
      </c>
      <c r="I302" s="49">
        <f t="shared" si="50"/>
        <v>130947.63050999999</v>
      </c>
      <c r="J302" s="49">
        <f t="shared" si="50"/>
        <v>1091.9000000000001</v>
      </c>
      <c r="K302" s="49">
        <f t="shared" si="50"/>
        <v>12005.113830000002</v>
      </c>
      <c r="L302" s="49">
        <f t="shared" si="50"/>
        <v>117850.61667999996</v>
      </c>
      <c r="M302" s="49">
        <f t="shared" si="50"/>
        <v>12538.127369999998</v>
      </c>
    </row>
  </sheetData>
  <mergeCells count="42">
    <mergeCell ref="A8:A14"/>
    <mergeCell ref="I9:I12"/>
    <mergeCell ref="J9:J12"/>
    <mergeCell ref="K9:K12"/>
    <mergeCell ref="L9:L12"/>
    <mergeCell ref="I8:M8"/>
    <mergeCell ref="M9:M12"/>
    <mergeCell ref="B18:H18"/>
    <mergeCell ref="B144:H144"/>
    <mergeCell ref="B128:H128"/>
    <mergeCell ref="E1:H2"/>
    <mergeCell ref="E3:H3"/>
    <mergeCell ref="C14:H14"/>
    <mergeCell ref="B112:H112"/>
    <mergeCell ref="B117:H117"/>
    <mergeCell ref="B15:H15"/>
    <mergeCell ref="B80:H80"/>
    <mergeCell ref="B66:H66"/>
    <mergeCell ref="B51:H51"/>
    <mergeCell ref="B54:H54"/>
    <mergeCell ref="B105:H105"/>
    <mergeCell ref="B24:H24"/>
    <mergeCell ref="C25:H25"/>
    <mergeCell ref="B5:H5"/>
    <mergeCell ref="F8:F12"/>
    <mergeCell ref="E8:E12"/>
    <mergeCell ref="B6:H6"/>
    <mergeCell ref="B7:H7"/>
    <mergeCell ref="B8:B12"/>
    <mergeCell ref="C8:C12"/>
    <mergeCell ref="D8:D12"/>
    <mergeCell ref="G8:G12"/>
    <mergeCell ref="H8:H12"/>
    <mergeCell ref="B294:H294"/>
    <mergeCell ref="B297:H297"/>
    <mergeCell ref="B264:H264"/>
    <mergeCell ref="B251:H251"/>
    <mergeCell ref="B156:H156"/>
    <mergeCell ref="B161:H161"/>
    <mergeCell ref="B259:H259"/>
    <mergeCell ref="B245:H245"/>
    <mergeCell ref="B256:H256"/>
  </mergeCells>
  <pageMargins left="0.31496062992125984" right="0.31496062992125984" top="0.27559055118110237" bottom="0.2755905511811023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Постановление АИП 2018</vt:lpstr>
      <vt:lpstr>'Постановление АИП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2018-12-26T13:24:09Z</cp:lastPrinted>
  <dcterms:created xsi:type="dcterms:W3CDTF">2018-02-01T13:06:50Z</dcterms:created>
  <dcterms:modified xsi:type="dcterms:W3CDTF">2018-12-26T14:34:53Z</dcterms:modified>
</cp:coreProperties>
</file>